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codeName="ThisWorkbook" autoCompressPictures="0"/>
  <bookViews>
    <workbookView xWindow="0" yWindow="0" windowWidth="25520" windowHeight="15540" tabRatio="833" firstSheet="1" activeTab="9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(LLEa)'!$D$22,'UNIFAC (LLEa)'!$B$22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cvg" localSheetId="9" hidden="1">0.0001</definedName>
    <definedName name="solver_drv" localSheetId="2" hidden="1">1</definedName>
    <definedName name="solver_drv" localSheetId="9" hidden="1">2</definedName>
    <definedName name="solver_eng" localSheetId="9" hidden="1">1</definedName>
    <definedName name="solver_est" localSheetId="2" hidden="1">1</definedName>
    <definedName name="solver_itr" localSheetId="2" hidden="1">100</definedName>
    <definedName name="solver_itr" localSheetId="9" hidden="1">2147483647</definedName>
    <definedName name="solver_lhs1" localSheetId="2" hidden="1">Regular!$C$37</definedName>
    <definedName name="solver_lin" localSheetId="2" hidden="1">2</definedName>
    <definedName name="solver_lin" localSheetId="9" hidden="1">2</definedName>
    <definedName name="solver_lin" localSheetId="10" hidden="1">0</definedName>
    <definedName name="solver_lin" localSheetId="7" hidden="1">0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2" hidden="1">2</definedName>
    <definedName name="solver_neg" localSheetId="9" hidden="1">1</definedName>
    <definedName name="solver_nod" localSheetId="9" hidden="1">2147483647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pre" localSheetId="9" hidden="1">0.000001</definedName>
    <definedName name="solver_rbv" localSheetId="9" hidden="1">2</definedName>
    <definedName name="solver_rel1" localSheetId="2" hidden="1">2</definedName>
    <definedName name="solver_rhs1" localSheetId="2" hidden="1">0</definedName>
    <definedName name="solver_rlx" localSheetId="9" hidden="1">2</definedName>
    <definedName name="solver_rsd" localSheetId="9" hidden="1">0</definedName>
    <definedName name="solver_scl" localSheetId="2" hidden="1">2</definedName>
    <definedName name="solver_scl" localSheetId="9" hidden="1">2</definedName>
    <definedName name="solver_sho" localSheetId="2" hidden="1">2</definedName>
    <definedName name="solver_sho" localSheetId="9" hidden="1">2</definedName>
    <definedName name="solver_ssz" localSheetId="9" hidden="1">100</definedName>
    <definedName name="solver_tim" localSheetId="2" hidden="1">100</definedName>
    <definedName name="solver_tim" localSheetId="9" hidden="1">2147483647</definedName>
    <definedName name="solver_tol" localSheetId="2" hidden="1">0.05</definedName>
    <definedName name="solver_tol" localSheetId="9" hidden="1">0.01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solver_ver" localSheetId="9" hidden="1">2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9" l="1"/>
  <c r="D17" i="9"/>
  <c r="C17" i="9"/>
  <c r="G2" i="18"/>
  <c r="G3" i="18"/>
  <c r="G4" i="18"/>
  <c r="G5" i="18"/>
  <c r="C8" i="18"/>
  <c r="D8" i="18"/>
  <c r="E8" i="18"/>
  <c r="C9" i="18"/>
  <c r="D9" i="18"/>
  <c r="E9" i="18"/>
  <c r="C10" i="18"/>
  <c r="D10" i="18"/>
  <c r="E10" i="18"/>
  <c r="C11" i="18"/>
  <c r="D11" i="18"/>
  <c r="E11" i="18"/>
  <c r="C12" i="18"/>
  <c r="D12" i="18"/>
  <c r="E12" i="18"/>
  <c r="C13" i="18"/>
  <c r="D13" i="18"/>
  <c r="E13" i="18"/>
  <c r="C14" i="18"/>
  <c r="D14" i="18"/>
  <c r="E14" i="18"/>
  <c r="C15" i="18"/>
  <c r="D15" i="18"/>
  <c r="E15" i="18"/>
  <c r="C16" i="18"/>
  <c r="D16" i="18"/>
  <c r="E16" i="18"/>
  <c r="C17" i="18"/>
  <c r="D17" i="18"/>
  <c r="E17" i="18"/>
  <c r="C18" i="18"/>
  <c r="D18" i="18"/>
  <c r="E18" i="18"/>
  <c r="C19" i="18"/>
  <c r="D19" i="18"/>
  <c r="E19" i="18"/>
  <c r="C20" i="18"/>
  <c r="D20" i="18"/>
  <c r="E20" i="18"/>
  <c r="C21" i="18"/>
  <c r="D21" i="18"/>
  <c r="E21" i="18"/>
  <c r="C22" i="18"/>
  <c r="D22" i="18"/>
  <c r="E22" i="18"/>
  <c r="C23" i="18"/>
  <c r="D23" i="18"/>
  <c r="E23" i="18"/>
  <c r="C24" i="18"/>
  <c r="D24" i="18"/>
  <c r="E24" i="18"/>
  <c r="C25" i="18"/>
  <c r="D25" i="18"/>
  <c r="E25" i="18"/>
  <c r="C26" i="18"/>
  <c r="D26" i="18"/>
  <c r="E26" i="18"/>
  <c r="C27" i="18"/>
  <c r="D27" i="18"/>
  <c r="E27" i="18"/>
  <c r="C28" i="18"/>
  <c r="D28" i="18"/>
  <c r="E28" i="18"/>
  <c r="H7" i="17"/>
  <c r="C10" i="17"/>
  <c r="D10" i="17"/>
  <c r="E10" i="17"/>
  <c r="F10" i="17"/>
  <c r="G10" i="17"/>
  <c r="B11" i="17"/>
  <c r="J11" i="17" a="1"/>
  <c r="J11" i="17"/>
  <c r="K11" i="17"/>
  <c r="L11" i="17"/>
  <c r="M11" i="17"/>
  <c r="N11" i="17"/>
  <c r="B12" i="17"/>
  <c r="J12" i="17"/>
  <c r="K12" i="17"/>
  <c r="L12" i="17"/>
  <c r="M12" i="17"/>
  <c r="N12" i="17"/>
  <c r="B13" i="17"/>
  <c r="J13" i="17"/>
  <c r="K13" i="17"/>
  <c r="L13" i="17"/>
  <c r="M13" i="17"/>
  <c r="N13" i="17"/>
  <c r="B14" i="17"/>
  <c r="J14" i="17"/>
  <c r="K14" i="17"/>
  <c r="L14" i="17"/>
  <c r="M14" i="17"/>
  <c r="N14" i="17"/>
  <c r="B15" i="17"/>
  <c r="J15" i="17"/>
  <c r="K15" i="17"/>
  <c r="L15" i="17"/>
  <c r="M15" i="17"/>
  <c r="N15" i="17"/>
  <c r="C17" i="17"/>
  <c r="D17" i="17"/>
  <c r="E17" i="17"/>
  <c r="F17" i="17"/>
  <c r="G17" i="17"/>
  <c r="B18" i="17"/>
  <c r="J18" i="17" a="1"/>
  <c r="J18" i="17"/>
  <c r="D25" i="17"/>
  <c r="K18" i="17"/>
  <c r="E25" i="17"/>
  <c r="L18" i="17"/>
  <c r="F25" i="17"/>
  <c r="M18" i="17"/>
  <c r="G25" i="17"/>
  <c r="N18" i="17"/>
  <c r="B19" i="17"/>
  <c r="J19" i="17"/>
  <c r="K19" i="17"/>
  <c r="E26" i="17"/>
  <c r="L19" i="17"/>
  <c r="F26" i="17"/>
  <c r="M19" i="17"/>
  <c r="G26" i="17"/>
  <c r="N19" i="17"/>
  <c r="B20" i="17"/>
  <c r="J20" i="17"/>
  <c r="K20" i="17"/>
  <c r="L20" i="17"/>
  <c r="F27" i="17"/>
  <c r="M20" i="17"/>
  <c r="G27" i="17"/>
  <c r="N20" i="17"/>
  <c r="B21" i="17"/>
  <c r="J21" i="17"/>
  <c r="K21" i="17"/>
  <c r="L21" i="17"/>
  <c r="M21" i="17"/>
  <c r="G28" i="17"/>
  <c r="N21" i="17"/>
  <c r="B22" i="17"/>
  <c r="J22" i="17"/>
  <c r="K22" i="17"/>
  <c r="L22" i="17"/>
  <c r="M22" i="17"/>
  <c r="N22" i="17"/>
  <c r="C24" i="17"/>
  <c r="D24" i="17"/>
  <c r="E24" i="17"/>
  <c r="F24" i="17"/>
  <c r="G24" i="17"/>
  <c r="B25" i="17"/>
  <c r="J25" i="17" a="1"/>
  <c r="J25" i="17"/>
  <c r="K25" i="17"/>
  <c r="L25" i="17"/>
  <c r="M25" i="17"/>
  <c r="N25" i="17"/>
  <c r="B26" i="17"/>
  <c r="J26" i="17"/>
  <c r="K26" i="17"/>
  <c r="L26" i="17"/>
  <c r="M26" i="17"/>
  <c r="N26" i="17"/>
  <c r="B27" i="17"/>
  <c r="J27" i="17"/>
  <c r="K27" i="17"/>
  <c r="L27" i="17"/>
  <c r="M27" i="17"/>
  <c r="N27" i="17"/>
  <c r="B28" i="17"/>
  <c r="B29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J36" i="17" a="1"/>
  <c r="J36" i="17"/>
  <c r="K36" i="17"/>
  <c r="L36" i="17"/>
  <c r="M36" i="17"/>
  <c r="N36" i="17"/>
  <c r="C26" i="5"/>
  <c r="C34" i="5"/>
  <c r="D26" i="5"/>
  <c r="D34" i="5"/>
  <c r="E34" i="5"/>
  <c r="F34" i="5"/>
  <c r="B27" i="5"/>
  <c r="B35" i="5"/>
  <c r="D27" i="5"/>
  <c r="D35" i="5"/>
  <c r="E35" i="5"/>
  <c r="F35" i="5"/>
  <c r="B28" i="5"/>
  <c r="B36" i="5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/>
  <c r="O45" i="3"/>
  <c r="B19" i="3"/>
  <c r="B42" i="3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E42" i="3"/>
  <c r="E46" i="3"/>
  <c r="F19" i="3"/>
  <c r="F42" i="3"/>
  <c r="F46" i="3"/>
  <c r="H19" i="3"/>
  <c r="H42" i="3"/>
  <c r="H46" i="3"/>
  <c r="I19" i="3"/>
  <c r="I41" i="3"/>
  <c r="I45" i="3"/>
  <c r="J19" i="3"/>
  <c r="J42" i="3"/>
  <c r="J46" i="3"/>
  <c r="K19" i="3"/>
  <c r="K41" i="3"/>
  <c r="K45" i="3"/>
  <c r="L19" i="3"/>
  <c r="L42" i="3"/>
  <c r="L46" i="3"/>
  <c r="N19" i="3"/>
  <c r="N42" i="3"/>
  <c r="N46" i="3"/>
  <c r="D19" i="3"/>
  <c r="D24" i="3"/>
  <c r="C19" i="3"/>
  <c r="C42" i="3"/>
  <c r="C46" i="3"/>
  <c r="B6" i="10"/>
  <c r="E32" i="10"/>
  <c r="T32" i="10"/>
  <c r="R33" i="10"/>
  <c r="P34" i="10"/>
  <c r="F35" i="10"/>
  <c r="N35" i="10"/>
  <c r="V35" i="10"/>
  <c r="L36" i="10"/>
  <c r="T36" i="10"/>
  <c r="J37" i="10"/>
  <c r="R37" i="10"/>
  <c r="H38" i="10"/>
  <c r="P38" i="10"/>
  <c r="T38" i="10"/>
  <c r="F39" i="10"/>
  <c r="J39" i="10"/>
  <c r="N39" i="10"/>
  <c r="R39" i="10"/>
  <c r="V39" i="10"/>
  <c r="H40" i="10"/>
  <c r="L40" i="10"/>
  <c r="P40" i="10"/>
  <c r="T40" i="10"/>
  <c r="F41" i="10"/>
  <c r="J41" i="10"/>
  <c r="N41" i="10"/>
  <c r="R41" i="10"/>
  <c r="V41" i="10"/>
  <c r="H42" i="10"/>
  <c r="L42" i="10"/>
  <c r="P42" i="10"/>
  <c r="T42" i="10"/>
  <c r="F43" i="10"/>
  <c r="J43" i="10"/>
  <c r="N43" i="10"/>
  <c r="R43" i="10"/>
  <c r="V43" i="10"/>
  <c r="H44" i="10"/>
  <c r="L44" i="10"/>
  <c r="P44" i="10"/>
  <c r="T44" i="10"/>
  <c r="F45" i="10"/>
  <c r="J45" i="10"/>
  <c r="N45" i="10"/>
  <c r="R45" i="10"/>
  <c r="V45" i="10"/>
  <c r="H46" i="10"/>
  <c r="L46" i="10"/>
  <c r="P46" i="10"/>
  <c r="T46" i="10"/>
  <c r="F47" i="10"/>
  <c r="J47" i="10"/>
  <c r="N47" i="10"/>
  <c r="R47" i="10"/>
  <c r="V47" i="10"/>
  <c r="H48" i="10"/>
  <c r="L48" i="10"/>
  <c r="P48" i="10"/>
  <c r="T48" i="10"/>
  <c r="G31" i="10"/>
  <c r="K31" i="10"/>
  <c r="O31" i="10"/>
  <c r="S31" i="10"/>
  <c r="E31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/>
  <c r="S9" i="10"/>
  <c r="S30" i="10"/>
  <c r="T9" i="10"/>
  <c r="T30" i="10"/>
  <c r="U9" i="10"/>
  <c r="U30" i="10"/>
  <c r="V9" i="10"/>
  <c r="V30" i="10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/>
  <c r="G9" i="10"/>
  <c r="G30" i="10"/>
  <c r="H9" i="10"/>
  <c r="H30" i="10"/>
  <c r="I9" i="10"/>
  <c r="I30" i="10"/>
  <c r="J9" i="10"/>
  <c r="J30" i="10"/>
  <c r="K9" i="10"/>
  <c r="K30" i="10"/>
  <c r="L9" i="10"/>
  <c r="L30" i="10"/>
  <c r="M9" i="10"/>
  <c r="M30" i="10"/>
  <c r="N9" i="10"/>
  <c r="N30" i="10"/>
  <c r="O9" i="10"/>
  <c r="O30" i="10"/>
  <c r="P9" i="10"/>
  <c r="P30" i="10"/>
  <c r="Q9" i="10"/>
  <c r="Q30" i="10"/>
  <c r="E9" i="10"/>
  <c r="E30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/>
  <c r="T27" i="16"/>
  <c r="X27" i="16"/>
  <c r="W27" i="16"/>
  <c r="T26" i="16"/>
  <c r="W26" i="16"/>
  <c r="U26" i="16"/>
  <c r="T25" i="16"/>
  <c r="X25" i="16"/>
  <c r="T24" i="16"/>
  <c r="W24" i="16"/>
  <c r="T23" i="16"/>
  <c r="X23" i="16"/>
  <c r="W23" i="16"/>
  <c r="T22" i="16"/>
  <c r="W22" i="16"/>
  <c r="U22" i="16"/>
  <c r="T21" i="16"/>
  <c r="X21" i="16"/>
  <c r="W21" i="16"/>
  <c r="T20" i="16"/>
  <c r="W20" i="16"/>
  <c r="U20" i="16"/>
  <c r="T19" i="16"/>
  <c r="X19" i="16"/>
  <c r="T18" i="16"/>
  <c r="W18" i="16"/>
  <c r="U18" i="16"/>
  <c r="T17" i="16"/>
  <c r="X17" i="16"/>
  <c r="W17" i="16"/>
  <c r="T16" i="16"/>
  <c r="W16" i="16"/>
  <c r="U16" i="16"/>
  <c r="T15" i="16"/>
  <c r="X15" i="16"/>
  <c r="T14" i="16"/>
  <c r="W14" i="16"/>
  <c r="U14" i="16"/>
  <c r="T13" i="16"/>
  <c r="X13" i="16"/>
  <c r="W13" i="16"/>
  <c r="T12" i="16"/>
  <c r="W12" i="16"/>
  <c r="U12" i="16"/>
  <c r="T11" i="16"/>
  <c r="X11" i="16"/>
  <c r="T10" i="16"/>
  <c r="W10" i="16"/>
  <c r="U10" i="16"/>
  <c r="T29" i="16"/>
  <c r="X29" i="16"/>
  <c r="W29" i="16"/>
  <c r="AO8" i="16"/>
  <c r="AK8" i="16"/>
  <c r="AI8" i="16"/>
  <c r="AG8" i="16"/>
  <c r="AE8" i="16"/>
  <c r="AC8" i="16"/>
  <c r="AA8" i="16"/>
  <c r="Y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D10" i="14"/>
  <c r="F10" i="14"/>
  <c r="B54" i="3"/>
  <c r="E54" i="3"/>
  <c r="B55" i="3"/>
  <c r="E55" i="3"/>
  <c r="C56" i="3"/>
  <c r="D56" i="3"/>
  <c r="E56" i="3"/>
  <c r="F56" i="3"/>
  <c r="G14" i="3"/>
  <c r="G40" i="3"/>
  <c r="G56" i="3"/>
  <c r="H56" i="3"/>
  <c r="I56" i="3"/>
  <c r="J56" i="3"/>
  <c r="K56" i="3"/>
  <c r="L56" i="3"/>
  <c r="M14" i="3"/>
  <c r="M40" i="3"/>
  <c r="N56" i="3"/>
  <c r="O56" i="3"/>
  <c r="B56" i="3"/>
  <c r="B40" i="3"/>
  <c r="C25" i="3"/>
  <c r="E25" i="3"/>
  <c r="I25" i="3"/>
  <c r="O25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6" i="12"/>
  <c r="C16" i="12"/>
  <c r="B42" i="9"/>
  <c r="C42" i="9"/>
  <c r="D42" i="9"/>
  <c r="E42" i="9"/>
  <c r="F42" i="9"/>
  <c r="G24" i="9" a="1"/>
  <c r="G24" i="9"/>
  <c r="G25" i="9" a="1"/>
  <c r="G25" i="9"/>
  <c r="G26" i="9" a="1"/>
  <c r="G26" i="9"/>
  <c r="G42" i="9"/>
  <c r="N26" i="9"/>
  <c r="G27" i="9" a="1"/>
  <c r="G28" i="9" a="1"/>
  <c r="G28" i="9"/>
  <c r="N28" i="9"/>
  <c r="G29" i="9" a="1"/>
  <c r="G29" i="9"/>
  <c r="N29" i="9"/>
  <c r="G30" i="9" a="1"/>
  <c r="G30" i="9"/>
  <c r="N30" i="9"/>
  <c r="G31" i="9" a="1"/>
  <c r="G32" i="9" a="1"/>
  <c r="G32" i="9"/>
  <c r="G33" i="9" a="1"/>
  <c r="G33" i="9"/>
  <c r="G34" i="9" a="1"/>
  <c r="G34" i="9"/>
  <c r="G35" i="9" a="1"/>
  <c r="G36" i="9" a="1"/>
  <c r="G37" i="9" a="1"/>
  <c r="G37" i="9"/>
  <c r="G38" i="9" a="1"/>
  <c r="G39" i="9" a="1"/>
  <c r="G39" i="9"/>
  <c r="N39" i="9"/>
  <c r="G40" i="9" a="1"/>
  <c r="G41" i="9" a="1"/>
  <c r="G41" i="9"/>
  <c r="B43" i="9"/>
  <c r="C43" i="9"/>
  <c r="J28" i="9"/>
  <c r="D43" i="9"/>
  <c r="E43" i="9"/>
  <c r="L26" i="9"/>
  <c r="F43" i="9"/>
  <c r="I25" i="9"/>
  <c r="K25" i="9"/>
  <c r="M25" i="9"/>
  <c r="I27" i="9"/>
  <c r="K27" i="9"/>
  <c r="M27" i="9"/>
  <c r="I29" i="9"/>
  <c r="K29" i="9"/>
  <c r="M29" i="9"/>
  <c r="I31" i="9"/>
  <c r="K31" i="9"/>
  <c r="M31" i="9"/>
  <c r="I33" i="9"/>
  <c r="K33" i="9"/>
  <c r="M33" i="9"/>
  <c r="I35" i="9"/>
  <c r="K35" i="9"/>
  <c r="M35" i="9"/>
  <c r="I37" i="9"/>
  <c r="K37" i="9"/>
  <c r="M37" i="9"/>
  <c r="I39" i="9"/>
  <c r="K39" i="9"/>
  <c r="M39" i="9"/>
  <c r="I41" i="9"/>
  <c r="K41" i="9"/>
  <c r="M41" i="9"/>
  <c r="C46" i="9" a="1"/>
  <c r="C46" i="9"/>
  <c r="B46" i="9" a="1"/>
  <c r="B46" i="9"/>
  <c r="D46" i="9" a="1"/>
  <c r="D46" i="9"/>
  <c r="E46" i="9" a="1"/>
  <c r="E46" i="9"/>
  <c r="F46" i="9" a="1"/>
  <c r="F46" i="9"/>
  <c r="C45" i="9" a="1"/>
  <c r="B45" i="9" a="1"/>
  <c r="B45" i="9"/>
  <c r="D45" i="9" a="1"/>
  <c r="D45" i="9"/>
  <c r="E45" i="9" a="1"/>
  <c r="E45" i="9"/>
  <c r="F45" i="9" a="1"/>
  <c r="F17" i="9"/>
  <c r="F16" i="12"/>
  <c r="E17" i="9"/>
  <c r="E16" i="12"/>
  <c r="C45" i="9"/>
  <c r="F45" i="9"/>
  <c r="C47" i="9"/>
  <c r="A36" i="9"/>
  <c r="H36" i="9"/>
  <c r="A37" i="9"/>
  <c r="H37" i="9"/>
  <c r="A38" i="9"/>
  <c r="H38" i="9"/>
  <c r="A39" i="9"/>
  <c r="H39" i="9"/>
  <c r="A40" i="9"/>
  <c r="H40" i="9"/>
  <c r="A41" i="9"/>
  <c r="H41" i="9"/>
  <c r="G38" i="9"/>
  <c r="G40" i="9"/>
  <c r="G36" i="9"/>
  <c r="G27" i="9"/>
  <c r="G31" i="9"/>
  <c r="G35" i="9"/>
  <c r="A35" i="9"/>
  <c r="H35" i="9"/>
  <c r="A30" i="9"/>
  <c r="H30" i="9"/>
  <c r="A31" i="9"/>
  <c r="H31" i="9"/>
  <c r="A32" i="9"/>
  <c r="H32" i="9"/>
  <c r="A33" i="9"/>
  <c r="H33" i="9"/>
  <c r="A34" i="9"/>
  <c r="H34" i="9"/>
  <c r="A25" i="9"/>
  <c r="H25" i="9"/>
  <c r="A26" i="9"/>
  <c r="H26" i="9"/>
  <c r="A27" i="9"/>
  <c r="H27" i="9"/>
  <c r="A28" i="9"/>
  <c r="H28" i="9"/>
  <c r="A29" i="9"/>
  <c r="H29" i="9"/>
  <c r="A24" i="9"/>
  <c r="H24" i="9"/>
  <c r="F20" i="12"/>
  <c r="E20" i="12"/>
  <c r="D20" i="12"/>
  <c r="C20" i="12"/>
  <c r="B20" i="12"/>
  <c r="F40" i="12"/>
  <c r="E40" i="12"/>
  <c r="D40" i="12"/>
  <c r="C40" i="12"/>
  <c r="B40" i="12"/>
  <c r="G40" i="12" a="1"/>
  <c r="F39" i="12"/>
  <c r="E39" i="12"/>
  <c r="D39" i="12"/>
  <c r="C39" i="12"/>
  <c r="B39" i="12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G36" i="12" a="1"/>
  <c r="F35" i="12"/>
  <c r="E35" i="12"/>
  <c r="D35" i="12"/>
  <c r="C35" i="12"/>
  <c r="B35" i="12"/>
  <c r="F34" i="12"/>
  <c r="E34" i="12"/>
  <c r="D34" i="12"/>
  <c r="C34" i="12"/>
  <c r="B34" i="12"/>
  <c r="F33" i="12"/>
  <c r="E33" i="12"/>
  <c r="D33" i="12"/>
  <c r="C33" i="12"/>
  <c r="B33" i="12"/>
  <c r="F32" i="12"/>
  <c r="E32" i="12"/>
  <c r="D32" i="12"/>
  <c r="C32" i="12"/>
  <c r="B32" i="12"/>
  <c r="G32" i="12" a="1"/>
  <c r="F31" i="12"/>
  <c r="E31" i="12"/>
  <c r="D31" i="12"/>
  <c r="C31" i="12"/>
  <c r="B31" i="12"/>
  <c r="F30" i="12"/>
  <c r="E30" i="12"/>
  <c r="D30" i="12"/>
  <c r="C30" i="12"/>
  <c r="B30" i="12"/>
  <c r="F29" i="12"/>
  <c r="E29" i="12"/>
  <c r="D29" i="12"/>
  <c r="C29" i="12"/>
  <c r="B29" i="12"/>
  <c r="F28" i="12"/>
  <c r="E28" i="12"/>
  <c r="D28" i="12"/>
  <c r="C28" i="12"/>
  <c r="B28" i="12"/>
  <c r="G28" i="12" a="1"/>
  <c r="F27" i="12"/>
  <c r="E27" i="12"/>
  <c r="D27" i="12"/>
  <c r="C27" i="12"/>
  <c r="B27" i="12"/>
  <c r="F26" i="12"/>
  <c r="E26" i="12"/>
  <c r="D26" i="12"/>
  <c r="C26" i="12"/>
  <c r="B26" i="12"/>
  <c r="F25" i="12"/>
  <c r="E25" i="12"/>
  <c r="D25" i="12"/>
  <c r="C25" i="12"/>
  <c r="B25" i="12"/>
  <c r="G25" i="12" a="1"/>
  <c r="F24" i="12"/>
  <c r="E24" i="12"/>
  <c r="D24" i="12"/>
  <c r="C24" i="12"/>
  <c r="B24" i="12"/>
  <c r="F23" i="12"/>
  <c r="F42" i="12"/>
  <c r="E23" i="12"/>
  <c r="D23" i="12"/>
  <c r="C23" i="12"/>
  <c r="B23" i="12"/>
  <c r="B45" i="12" a="1"/>
  <c r="B45" i="12"/>
  <c r="B14" i="12"/>
  <c r="C14" i="12"/>
  <c r="D14" i="12"/>
  <c r="E14" i="12"/>
  <c r="F14" i="12"/>
  <c r="B15" i="12"/>
  <c r="C15" i="12"/>
  <c r="D15" i="12"/>
  <c r="E15" i="12"/>
  <c r="F15" i="12"/>
  <c r="D16" i="12"/>
  <c r="C13" i="12"/>
  <c r="D13" i="12"/>
  <c r="E13" i="12"/>
  <c r="F13" i="12"/>
  <c r="B13" i="12"/>
  <c r="B10" i="12"/>
  <c r="G23" i="12" a="1"/>
  <c r="G27" i="12" a="1"/>
  <c r="G29" i="12" a="1"/>
  <c r="G31" i="12" a="1"/>
  <c r="G33" i="12" a="1"/>
  <c r="G35" i="12" a="1"/>
  <c r="G37" i="12" a="1"/>
  <c r="G39" i="12" a="1"/>
  <c r="B42" i="12"/>
  <c r="I30" i="12"/>
  <c r="I34" i="12"/>
  <c r="F44" i="12" a="1"/>
  <c r="F44" i="12"/>
  <c r="A35" i="12"/>
  <c r="H35" i="12"/>
  <c r="A36" i="12"/>
  <c r="H36" i="12"/>
  <c r="A37" i="12"/>
  <c r="H37" i="12"/>
  <c r="A38" i="12"/>
  <c r="H38" i="12"/>
  <c r="A39" i="12"/>
  <c r="H39" i="12"/>
  <c r="A40" i="12"/>
  <c r="H40" i="12"/>
  <c r="A34" i="12"/>
  <c r="H34" i="12"/>
  <c r="A29" i="12"/>
  <c r="H29" i="12"/>
  <c r="A30" i="12"/>
  <c r="H30" i="12"/>
  <c r="A31" i="12"/>
  <c r="H31" i="12"/>
  <c r="A32" i="12"/>
  <c r="H32" i="12"/>
  <c r="A33" i="12"/>
  <c r="H33" i="12"/>
  <c r="A24" i="12"/>
  <c r="H24" i="12"/>
  <c r="A25" i="12"/>
  <c r="H25" i="12"/>
  <c r="A26" i="12"/>
  <c r="H26" i="12"/>
  <c r="A27" i="12"/>
  <c r="H27" i="12"/>
  <c r="A28" i="12"/>
  <c r="H28" i="12"/>
  <c r="A23" i="12"/>
  <c r="H23" i="12"/>
  <c r="E44" i="15"/>
  <c r="L42" i="15"/>
  <c r="L23" i="15"/>
  <c r="L25" i="15"/>
  <c r="L27" i="15"/>
  <c r="L29" i="15"/>
  <c r="L31" i="15"/>
  <c r="L33" i="15"/>
  <c r="L35" i="15"/>
  <c r="L37" i="15"/>
  <c r="L39" i="15"/>
  <c r="L41" i="15"/>
  <c r="D44" i="15"/>
  <c r="K26" i="15"/>
  <c r="K30" i="15"/>
  <c r="K34" i="15"/>
  <c r="K38" i="15"/>
  <c r="K42" i="15"/>
  <c r="D43" i="15"/>
  <c r="C43" i="15"/>
  <c r="F43" i="15"/>
  <c r="G43" i="15"/>
  <c r="E43" i="15"/>
  <c r="H23" i="15" a="1"/>
  <c r="H23" i="15"/>
  <c r="H43" i="15"/>
  <c r="O23" i="15"/>
  <c r="H24" i="15" a="1"/>
  <c r="H25" i="15" a="1"/>
  <c r="H25" i="15"/>
  <c r="H26" i="15" a="1"/>
  <c r="H26" i="15"/>
  <c r="H27" i="15" a="1"/>
  <c r="H27" i="15"/>
  <c r="H28" i="15" a="1"/>
  <c r="H29" i="15" a="1"/>
  <c r="H29" i="15"/>
  <c r="O29" i="15"/>
  <c r="H30" i="15" a="1"/>
  <c r="H30" i="15"/>
  <c r="O30" i="15"/>
  <c r="H31" i="15" a="1"/>
  <c r="H31" i="15"/>
  <c r="O31" i="15"/>
  <c r="H32" i="15" a="1"/>
  <c r="H33" i="15" a="1"/>
  <c r="H33" i="15"/>
  <c r="H34" i="15" a="1"/>
  <c r="H34" i="15"/>
  <c r="H35" i="15" a="1"/>
  <c r="H35" i="15"/>
  <c r="H36" i="15" a="1"/>
  <c r="H37" i="15" a="1"/>
  <c r="H38" i="15" a="1"/>
  <c r="H38" i="15"/>
  <c r="H39" i="15" a="1"/>
  <c r="H40" i="15" a="1"/>
  <c r="H41" i="15" a="1"/>
  <c r="H42" i="15" a="1"/>
  <c r="H42" i="15"/>
  <c r="O42" i="15"/>
  <c r="C44" i="15"/>
  <c r="J42" i="15"/>
  <c r="J23" i="15"/>
  <c r="J25" i="15"/>
  <c r="J27" i="15"/>
  <c r="J29" i="15"/>
  <c r="J31" i="15"/>
  <c r="J33" i="15"/>
  <c r="J35" i="15"/>
  <c r="J37" i="15"/>
  <c r="J39" i="15"/>
  <c r="J41" i="15"/>
  <c r="F44" i="15"/>
  <c r="M23" i="15"/>
  <c r="M25" i="15"/>
  <c r="M27" i="15"/>
  <c r="M29" i="15"/>
  <c r="M31" i="15"/>
  <c r="M33" i="15"/>
  <c r="M35" i="15"/>
  <c r="M37" i="15"/>
  <c r="M39" i="15"/>
  <c r="M41" i="15"/>
  <c r="G44" i="15"/>
  <c r="N23" i="15"/>
  <c r="N24" i="15"/>
  <c r="N26" i="15"/>
  <c r="N28" i="15"/>
  <c r="N30" i="15"/>
  <c r="N32" i="15"/>
  <c r="N34" i="15"/>
  <c r="N36" i="15"/>
  <c r="N38" i="15"/>
  <c r="N40" i="15"/>
  <c r="N42" i="15"/>
  <c r="G16" i="15"/>
  <c r="C16" i="15"/>
  <c r="D16" i="15"/>
  <c r="F16" i="15"/>
  <c r="H36" i="15"/>
  <c r="H37" i="15"/>
  <c r="H39" i="15"/>
  <c r="H40" i="15"/>
  <c r="H41" i="15"/>
  <c r="H24" i="15"/>
  <c r="H28" i="15"/>
  <c r="H32" i="15"/>
  <c r="A12" i="4"/>
  <c r="B12" i="4"/>
  <c r="K12" i="4"/>
  <c r="A13" i="4"/>
  <c r="B31" i="4"/>
  <c r="H31" i="4"/>
  <c r="L12" i="4"/>
  <c r="B11" i="4"/>
  <c r="L11" i="4"/>
  <c r="D7" i="4"/>
  <c r="D6" i="4"/>
  <c r="D31" i="4"/>
  <c r="E31" i="4"/>
  <c r="D30" i="4"/>
  <c r="F30" i="4"/>
  <c r="D29" i="4"/>
  <c r="E29" i="4"/>
  <c r="D28" i="4"/>
  <c r="F28" i="4"/>
  <c r="D27" i="4"/>
  <c r="E27" i="4"/>
  <c r="D26" i="4"/>
  <c r="F26" i="4"/>
  <c r="D25" i="4"/>
  <c r="E25" i="4"/>
  <c r="D24" i="4"/>
  <c r="F24" i="4"/>
  <c r="D23" i="4"/>
  <c r="E23" i="4"/>
  <c r="D22" i="4"/>
  <c r="F22" i="4"/>
  <c r="D21" i="4"/>
  <c r="E21" i="4"/>
  <c r="D20" i="4"/>
  <c r="F20" i="4"/>
  <c r="D19" i="4"/>
  <c r="E19" i="4"/>
  <c r="D18" i="4"/>
  <c r="F18" i="4"/>
  <c r="D17" i="4"/>
  <c r="E17" i="4"/>
  <c r="D16" i="4"/>
  <c r="F16" i="4"/>
  <c r="D15" i="4"/>
  <c r="E15" i="4"/>
  <c r="D14" i="4"/>
  <c r="F14" i="4"/>
  <c r="D13" i="4"/>
  <c r="E13" i="4"/>
  <c r="D12" i="4"/>
  <c r="F12" i="4"/>
  <c r="D11" i="4"/>
  <c r="F11" i="4"/>
  <c r="E6" i="4"/>
  <c r="E7" i="4"/>
  <c r="F6" i="4"/>
  <c r="B23" i="5" a="1"/>
  <c r="B23" i="5"/>
  <c r="D23" i="5" a="1"/>
  <c r="J14" i="5"/>
  <c r="K14" i="5"/>
  <c r="L14" i="5"/>
  <c r="M14" i="5"/>
  <c r="I14" i="5"/>
  <c r="D23" i="5"/>
  <c r="F22" i="5"/>
  <c r="I23" i="5" a="1"/>
  <c r="I23" i="5"/>
  <c r="K23" i="5" a="1"/>
  <c r="K23" i="5"/>
  <c r="K22" i="5"/>
  <c r="R13" i="5"/>
  <c r="P14" i="5"/>
  <c r="Q14" i="5"/>
  <c r="Q16" i="5"/>
  <c r="R16" i="5"/>
  <c r="P16" i="5"/>
  <c r="Q15" i="5"/>
  <c r="R15" i="5"/>
  <c r="P15" i="5"/>
  <c r="Q13" i="5"/>
  <c r="P13" i="5"/>
  <c r="J25" i="3"/>
  <c r="J29" i="3"/>
  <c r="H25" i="3"/>
  <c r="H29" i="3"/>
  <c r="I40" i="12"/>
  <c r="I32" i="12"/>
  <c r="G23" i="12"/>
  <c r="K25" i="3"/>
  <c r="K29" i="3"/>
  <c r="V29" i="16"/>
  <c r="V11" i="16"/>
  <c r="V13" i="16"/>
  <c r="V15" i="16"/>
  <c r="V17" i="16"/>
  <c r="V19" i="16"/>
  <c r="V21" i="16"/>
  <c r="V23" i="16"/>
  <c r="V25" i="16"/>
  <c r="V27" i="16"/>
  <c r="F32" i="10"/>
  <c r="J22" i="5"/>
  <c r="I22" i="5"/>
  <c r="L22" i="5"/>
  <c r="A14" i="4"/>
  <c r="B14" i="4"/>
  <c r="K14" i="4"/>
  <c r="F47" i="9"/>
  <c r="M22" i="5"/>
  <c r="L24" i="9"/>
  <c r="L25" i="9"/>
  <c r="L27" i="9"/>
  <c r="L29" i="9"/>
  <c r="L31" i="9"/>
  <c r="L33" i="9"/>
  <c r="L35" i="9"/>
  <c r="L37" i="9"/>
  <c r="L39" i="9"/>
  <c r="L41" i="9"/>
  <c r="H54" i="3"/>
  <c r="H55" i="3"/>
  <c r="E57" i="3"/>
  <c r="E61" i="3"/>
  <c r="D58" i="3"/>
  <c r="D62" i="3"/>
  <c r="Y22" i="16"/>
  <c r="W48" i="16"/>
  <c r="Y20" i="16"/>
  <c r="W46" i="16"/>
  <c r="Y18" i="16"/>
  <c r="W44" i="16"/>
  <c r="Y16" i="16"/>
  <c r="W42" i="16"/>
  <c r="Y14" i="16"/>
  <c r="W40" i="16"/>
  <c r="Y12" i="16"/>
  <c r="W38" i="16"/>
  <c r="Y10" i="16"/>
  <c r="W36" i="16"/>
  <c r="AA22" i="16"/>
  <c r="Y48" i="16"/>
  <c r="AA20" i="16"/>
  <c r="Y46" i="16"/>
  <c r="AA18" i="16"/>
  <c r="Y44" i="16"/>
  <c r="AA16" i="16"/>
  <c r="Y42" i="16"/>
  <c r="AA14" i="16"/>
  <c r="Y40" i="16"/>
  <c r="AA12" i="16"/>
  <c r="Y38" i="16"/>
  <c r="AA10" i="16"/>
  <c r="Y36" i="16"/>
  <c r="AC22" i="16"/>
  <c r="AA48" i="16"/>
  <c r="AC20" i="16"/>
  <c r="AA46" i="16"/>
  <c r="AC18" i="16"/>
  <c r="AA44" i="16"/>
  <c r="AC16" i="16"/>
  <c r="AA42" i="16"/>
  <c r="AC14" i="16"/>
  <c r="AA40" i="16"/>
  <c r="AC12" i="16"/>
  <c r="AA38" i="16"/>
  <c r="AC10" i="16"/>
  <c r="AA36" i="16"/>
  <c r="AE22" i="16"/>
  <c r="AC48" i="16"/>
  <c r="AE20" i="16"/>
  <c r="AC46" i="16"/>
  <c r="AE18" i="16"/>
  <c r="AC44" i="16"/>
  <c r="AE16" i="16"/>
  <c r="AC42" i="16"/>
  <c r="AE14" i="16"/>
  <c r="AC40" i="16"/>
  <c r="AE12" i="16"/>
  <c r="AC38" i="16"/>
  <c r="AE10" i="16"/>
  <c r="AC36" i="16"/>
  <c r="AG22" i="16"/>
  <c r="AE48" i="16"/>
  <c r="AG20" i="16"/>
  <c r="AE46" i="16"/>
  <c r="AG18" i="16"/>
  <c r="AE44" i="16"/>
  <c r="AG16" i="16"/>
  <c r="AE42" i="16"/>
  <c r="AG14" i="16"/>
  <c r="AE40" i="16"/>
  <c r="AG12" i="16"/>
  <c r="AE38" i="16"/>
  <c r="AG10" i="16"/>
  <c r="AE36" i="16"/>
  <c r="AI22" i="16"/>
  <c r="AG48" i="16"/>
  <c r="AI20" i="16"/>
  <c r="AG46" i="16"/>
  <c r="AI18" i="16"/>
  <c r="AG44" i="16"/>
  <c r="AI16" i="16"/>
  <c r="AG42" i="16"/>
  <c r="AI14" i="16"/>
  <c r="AG40" i="16"/>
  <c r="AI12" i="16"/>
  <c r="AG38" i="16"/>
  <c r="AI10" i="16"/>
  <c r="AG36" i="16"/>
  <c r="AK22" i="16"/>
  <c r="AI48" i="16"/>
  <c r="AK20" i="16"/>
  <c r="AI46" i="16"/>
  <c r="AK18" i="16"/>
  <c r="AI44" i="16"/>
  <c r="AK16" i="16"/>
  <c r="AI42" i="16"/>
  <c r="AK14" i="16"/>
  <c r="AI40" i="16"/>
  <c r="AK12" i="16"/>
  <c r="AI38" i="16"/>
  <c r="AK10" i="16"/>
  <c r="AI36" i="16"/>
  <c r="AO22" i="16"/>
  <c r="AM48" i="16"/>
  <c r="AO20" i="16"/>
  <c r="AM46" i="16"/>
  <c r="AO18" i="16"/>
  <c r="AM44" i="16"/>
  <c r="AO16" i="16"/>
  <c r="AM42" i="16"/>
  <c r="AO14" i="16"/>
  <c r="AM40" i="16"/>
  <c r="AO12" i="16"/>
  <c r="AM38" i="16"/>
  <c r="AO10" i="16"/>
  <c r="AM36" i="16"/>
  <c r="K23" i="15"/>
  <c r="K25" i="15"/>
  <c r="K27" i="15"/>
  <c r="K29" i="15"/>
  <c r="K31" i="15"/>
  <c r="K33" i="15"/>
  <c r="K35" i="15"/>
  <c r="K37" i="15"/>
  <c r="K39" i="15"/>
  <c r="K41" i="15"/>
  <c r="J24" i="9"/>
  <c r="J25" i="9"/>
  <c r="J27" i="9"/>
  <c r="J29" i="9"/>
  <c r="J31" i="9"/>
  <c r="J33" i="9"/>
  <c r="J35" i="9"/>
  <c r="J37" i="9"/>
  <c r="J39" i="9"/>
  <c r="J41" i="9"/>
  <c r="M42" i="15"/>
  <c r="M24" i="15"/>
  <c r="M26" i="15"/>
  <c r="M28" i="15"/>
  <c r="M30" i="15"/>
  <c r="M32" i="15"/>
  <c r="M34" i="15"/>
  <c r="M36" i="15"/>
  <c r="M38" i="15"/>
  <c r="M40" i="15"/>
  <c r="I25" i="12"/>
  <c r="I29" i="12"/>
  <c r="I33" i="12"/>
  <c r="I37" i="12"/>
  <c r="C41" i="12"/>
  <c r="C45" i="12" a="1"/>
  <c r="C45" i="12"/>
  <c r="E41" i="12"/>
  <c r="E45" i="12" a="1"/>
  <c r="E45" i="12"/>
  <c r="G24" i="12" a="1"/>
  <c r="G24" i="12"/>
  <c r="M24" i="9"/>
  <c r="M26" i="9"/>
  <c r="M28" i="9"/>
  <c r="M30" i="9"/>
  <c r="M32" i="9"/>
  <c r="M34" i="9"/>
  <c r="M36" i="9"/>
  <c r="M38" i="9"/>
  <c r="M40" i="9"/>
  <c r="K24" i="9"/>
  <c r="K26" i="9"/>
  <c r="K28" i="9"/>
  <c r="K30" i="9"/>
  <c r="K32" i="9"/>
  <c r="K34" i="9"/>
  <c r="K36" i="9"/>
  <c r="K38" i="9"/>
  <c r="K40" i="9"/>
  <c r="I24" i="9"/>
  <c r="I26" i="9"/>
  <c r="I28" i="9"/>
  <c r="I30" i="9"/>
  <c r="I32" i="9"/>
  <c r="I34" i="9"/>
  <c r="I36" i="9"/>
  <c r="I38" i="9"/>
  <c r="I40" i="9"/>
  <c r="A12" i="14"/>
  <c r="B12" i="14"/>
  <c r="D12" i="14"/>
  <c r="F12" i="14"/>
  <c r="B11" i="14"/>
  <c r="C11" i="14"/>
  <c r="O28" i="15"/>
  <c r="O36" i="15"/>
  <c r="O40" i="15"/>
  <c r="N27" i="9"/>
  <c r="E22" i="5"/>
  <c r="O41" i="15"/>
  <c r="O37" i="15"/>
  <c r="O35" i="15"/>
  <c r="O33" i="15"/>
  <c r="O27" i="15"/>
  <c r="O25" i="15"/>
  <c r="K40" i="15"/>
  <c r="K36" i="15"/>
  <c r="K32" i="15"/>
  <c r="K28" i="15"/>
  <c r="K24" i="15"/>
  <c r="L40" i="9"/>
  <c r="J38" i="9"/>
  <c r="L36" i="9"/>
  <c r="J34" i="9"/>
  <c r="L32" i="9"/>
  <c r="J30" i="9"/>
  <c r="L28" i="9"/>
  <c r="J26" i="9"/>
  <c r="N34" i="9"/>
  <c r="F25" i="3"/>
  <c r="F29" i="3"/>
  <c r="D25" i="3"/>
  <c r="D29" i="3"/>
  <c r="X10" i="16"/>
  <c r="V10" i="16"/>
  <c r="X12" i="16"/>
  <c r="V12" i="16"/>
  <c r="X14" i="16"/>
  <c r="V14" i="16"/>
  <c r="X16" i="16"/>
  <c r="V16" i="16"/>
  <c r="X18" i="16"/>
  <c r="V18" i="16"/>
  <c r="X20" i="16"/>
  <c r="V20" i="16"/>
  <c r="X22" i="16"/>
  <c r="V22" i="16"/>
  <c r="X24" i="16"/>
  <c r="V24" i="16"/>
  <c r="AO26" i="16"/>
  <c r="AM52" i="16"/>
  <c r="AK26" i="16"/>
  <c r="AI52" i="16"/>
  <c r="AI26" i="16"/>
  <c r="AG52" i="16"/>
  <c r="AG26" i="16"/>
  <c r="AE52" i="16"/>
  <c r="AE26" i="16"/>
  <c r="AC52" i="16"/>
  <c r="AC26" i="16"/>
  <c r="AA52" i="16"/>
  <c r="AA26" i="16"/>
  <c r="Y52" i="16"/>
  <c r="Y26" i="16"/>
  <c r="W52" i="16"/>
  <c r="X26" i="16"/>
  <c r="V26" i="16"/>
  <c r="X28" i="16"/>
  <c r="V28" i="16"/>
  <c r="V31" i="10"/>
  <c r="T31" i="10"/>
  <c r="R31" i="10"/>
  <c r="P31" i="10"/>
  <c r="N31" i="10"/>
  <c r="L31" i="10"/>
  <c r="J31" i="10"/>
  <c r="H31" i="10"/>
  <c r="F31" i="10"/>
  <c r="U48" i="10"/>
  <c r="S48" i="10"/>
  <c r="Q48" i="10"/>
  <c r="O48" i="10"/>
  <c r="M48" i="10"/>
  <c r="K48" i="10"/>
  <c r="I48" i="10"/>
  <c r="G48" i="10"/>
  <c r="E48" i="10"/>
  <c r="U47" i="10"/>
  <c r="S47" i="10"/>
  <c r="Q47" i="10"/>
  <c r="O47" i="10"/>
  <c r="M47" i="10"/>
  <c r="K47" i="10"/>
  <c r="I47" i="10"/>
  <c r="G47" i="10"/>
  <c r="E47" i="10"/>
  <c r="U46" i="10"/>
  <c r="S46" i="10"/>
  <c r="Q46" i="10"/>
  <c r="O46" i="10"/>
  <c r="M46" i="10"/>
  <c r="K46" i="10"/>
  <c r="I46" i="10"/>
  <c r="G46" i="10"/>
  <c r="E46" i="10"/>
  <c r="U45" i="10"/>
  <c r="S45" i="10"/>
  <c r="Q45" i="10"/>
  <c r="O45" i="10"/>
  <c r="M45" i="10"/>
  <c r="K45" i="10"/>
  <c r="I45" i="10"/>
  <c r="G45" i="10"/>
  <c r="E45" i="10"/>
  <c r="U44" i="10"/>
  <c r="S44" i="10"/>
  <c r="Q44" i="10"/>
  <c r="O44" i="10"/>
  <c r="M44" i="10"/>
  <c r="K44" i="10"/>
  <c r="I44" i="10"/>
  <c r="G44" i="10"/>
  <c r="E44" i="10"/>
  <c r="U43" i="10"/>
  <c r="S43" i="10"/>
  <c r="Q43" i="10"/>
  <c r="O43" i="10"/>
  <c r="M43" i="10"/>
  <c r="K43" i="10"/>
  <c r="I43" i="10"/>
  <c r="G43" i="10"/>
  <c r="E43" i="10"/>
  <c r="U42" i="10"/>
  <c r="S42" i="10"/>
  <c r="Q42" i="10"/>
  <c r="O42" i="10"/>
  <c r="M42" i="10"/>
  <c r="K42" i="10"/>
  <c r="I42" i="10"/>
  <c r="G42" i="10"/>
  <c r="E42" i="10"/>
  <c r="U41" i="10"/>
  <c r="S41" i="10"/>
  <c r="Q41" i="10"/>
  <c r="O41" i="10"/>
  <c r="M41" i="10"/>
  <c r="K41" i="10"/>
  <c r="I41" i="10"/>
  <c r="G41" i="10"/>
  <c r="E41" i="10"/>
  <c r="U40" i="10"/>
  <c r="S40" i="10"/>
  <c r="Q40" i="10"/>
  <c r="O40" i="10"/>
  <c r="M40" i="10"/>
  <c r="K40" i="10"/>
  <c r="I40" i="10"/>
  <c r="G40" i="10"/>
  <c r="E40" i="10"/>
  <c r="U39" i="10"/>
  <c r="S39" i="10"/>
  <c r="Q39" i="10"/>
  <c r="O39" i="10"/>
  <c r="M39" i="10"/>
  <c r="K39" i="10"/>
  <c r="I39" i="10"/>
  <c r="G39" i="10"/>
  <c r="E39" i="10"/>
  <c r="U38" i="10"/>
  <c r="S38" i="10"/>
  <c r="Q38" i="10"/>
  <c r="O38" i="10"/>
  <c r="M38" i="10"/>
  <c r="K38" i="10"/>
  <c r="I38" i="10"/>
  <c r="G38" i="10"/>
  <c r="E38" i="10"/>
  <c r="U37" i="10"/>
  <c r="S37" i="10"/>
  <c r="Q37" i="10"/>
  <c r="O37" i="10"/>
  <c r="M37" i="10"/>
  <c r="K37" i="10"/>
  <c r="I37" i="10"/>
  <c r="G37" i="10"/>
  <c r="E37" i="10"/>
  <c r="U36" i="10"/>
  <c r="S36" i="10"/>
  <c r="Q36" i="10"/>
  <c r="O36" i="10"/>
  <c r="M36" i="10"/>
  <c r="K36" i="10"/>
  <c r="I36" i="10"/>
  <c r="G36" i="10"/>
  <c r="E36" i="10"/>
  <c r="U35" i="10"/>
  <c r="S35" i="10"/>
  <c r="Q35" i="10"/>
  <c r="O35" i="10"/>
  <c r="M35" i="10"/>
  <c r="K35" i="10"/>
  <c r="I35" i="10"/>
  <c r="G35" i="10"/>
  <c r="E35" i="10"/>
  <c r="U34" i="10"/>
  <c r="S34" i="10"/>
  <c r="Q34" i="10"/>
  <c r="O34" i="10"/>
  <c r="M34" i="10"/>
  <c r="K34" i="10"/>
  <c r="I34" i="10"/>
  <c r="G34" i="10"/>
  <c r="E34" i="10"/>
  <c r="U33" i="10"/>
  <c r="S33" i="10"/>
  <c r="Q33" i="10"/>
  <c r="O33" i="10"/>
  <c r="M33" i="10"/>
  <c r="K33" i="10"/>
  <c r="I33" i="10"/>
  <c r="G33" i="10"/>
  <c r="E33" i="10"/>
  <c r="U32" i="10"/>
  <c r="S32" i="10"/>
  <c r="Q32" i="10"/>
  <c r="O32" i="10"/>
  <c r="M32" i="10"/>
  <c r="K32" i="10"/>
  <c r="I32" i="10"/>
  <c r="G32" i="10"/>
  <c r="AS25" i="16"/>
  <c r="V51" i="16"/>
  <c r="AN9" i="16"/>
  <c r="AL35" i="16"/>
  <c r="B38" i="15"/>
  <c r="I38" i="15"/>
  <c r="AJ9" i="16"/>
  <c r="AH35" i="16"/>
  <c r="V47" i="16"/>
  <c r="B34" i="15"/>
  <c r="I34" i="15"/>
  <c r="AS21" i="16"/>
  <c r="AF9" i="16"/>
  <c r="AD35" i="16"/>
  <c r="AS17" i="16"/>
  <c r="B30" i="15"/>
  <c r="I30" i="15"/>
  <c r="V43" i="16"/>
  <c r="AB9" i="16"/>
  <c r="Z35" i="16"/>
  <c r="V39" i="16"/>
  <c r="B26" i="15"/>
  <c r="I26" i="15"/>
  <c r="AS13" i="16"/>
  <c r="V55" i="16"/>
  <c r="AR9" i="16"/>
  <c r="AP35" i="16"/>
  <c r="B42" i="15"/>
  <c r="I42" i="15"/>
  <c r="AS29" i="16"/>
  <c r="AP9" i="16"/>
  <c r="AN35" i="16"/>
  <c r="V53" i="16"/>
  <c r="V49" i="16"/>
  <c r="AH9" i="16"/>
  <c r="AF35" i="16"/>
  <c r="V45" i="16"/>
  <c r="AD9" i="16"/>
  <c r="AB35" i="16"/>
  <c r="V41" i="16"/>
  <c r="Z9" i="16"/>
  <c r="X35" i="16"/>
  <c r="V37" i="16"/>
  <c r="V54" i="16"/>
  <c r="AQ9" i="16"/>
  <c r="AO35" i="16"/>
  <c r="AS28" i="16"/>
  <c r="B41" i="15"/>
  <c r="I41" i="15"/>
  <c r="V52" i="16"/>
  <c r="AO9" i="16"/>
  <c r="AM35" i="16"/>
  <c r="B39" i="15"/>
  <c r="I39" i="15"/>
  <c r="AS26" i="16"/>
  <c r="V50" i="16"/>
  <c r="AM9" i="16"/>
  <c r="AK35" i="16"/>
  <c r="AS24" i="16"/>
  <c r="B37" i="15"/>
  <c r="I37" i="15"/>
  <c r="AS22" i="16"/>
  <c r="AK9" i="16"/>
  <c r="AI35" i="16"/>
  <c r="V48" i="16"/>
  <c r="B35" i="15"/>
  <c r="I35" i="15"/>
  <c r="AS20" i="16"/>
  <c r="AI9" i="16"/>
  <c r="AG35" i="16"/>
  <c r="V46" i="16"/>
  <c r="B33" i="15"/>
  <c r="I33" i="15"/>
  <c r="AS18" i="16"/>
  <c r="AG9" i="16"/>
  <c r="AE35" i="16"/>
  <c r="V44" i="16"/>
  <c r="B31" i="15"/>
  <c r="I31" i="15"/>
  <c r="AS16" i="16"/>
  <c r="V42" i="16"/>
  <c r="AE9" i="16"/>
  <c r="AC35" i="16"/>
  <c r="B29" i="15"/>
  <c r="I29" i="15"/>
  <c r="AC9" i="16"/>
  <c r="AA35" i="16"/>
  <c r="V40" i="16"/>
  <c r="AS14" i="16"/>
  <c r="B27" i="15"/>
  <c r="I27" i="15"/>
  <c r="V38" i="16"/>
  <c r="AS12" i="16"/>
  <c r="AA9" i="16"/>
  <c r="Y35" i="16"/>
  <c r="B25" i="15"/>
  <c r="I25" i="15"/>
  <c r="AS10" i="16"/>
  <c r="Y9" i="16"/>
  <c r="W35" i="16"/>
  <c r="V36" i="16"/>
  <c r="B23" i="15"/>
  <c r="I23" i="15"/>
  <c r="I42" i="9" a="1"/>
  <c r="I42" i="9"/>
  <c r="O24" i="9"/>
  <c r="M42" i="9" a="1"/>
  <c r="M42" i="9"/>
  <c r="S36" i="9"/>
  <c r="N36" i="9"/>
  <c r="N31" i="9"/>
  <c r="O39" i="15"/>
  <c r="O24" i="15"/>
  <c r="O40" i="9"/>
  <c r="O36" i="9"/>
  <c r="O32" i="9"/>
  <c r="O28" i="9"/>
  <c r="O32" i="15"/>
  <c r="N25" i="9"/>
  <c r="N33" i="9"/>
  <c r="O38" i="15"/>
  <c r="C12" i="14"/>
  <c r="E12" i="14"/>
  <c r="G12" i="14"/>
  <c r="A13" i="14"/>
  <c r="B13" i="14"/>
  <c r="D13" i="14"/>
  <c r="F13" i="14"/>
  <c r="K42" i="9" a="1"/>
  <c r="K42" i="9"/>
  <c r="Q34" i="9"/>
  <c r="A15" i="4"/>
  <c r="B15" i="4"/>
  <c r="G15" i="4"/>
  <c r="L14" i="4"/>
  <c r="O38" i="9"/>
  <c r="O34" i="9"/>
  <c r="O30" i="9"/>
  <c r="O26" i="9"/>
  <c r="S38" i="9"/>
  <c r="S30" i="9"/>
  <c r="O26" i="15"/>
  <c r="O34" i="15"/>
  <c r="A16" i="4"/>
  <c r="B16" i="4"/>
  <c r="K16" i="4"/>
  <c r="H15" i="4"/>
  <c r="C13" i="14"/>
  <c r="E13" i="14"/>
  <c r="G13" i="14"/>
  <c r="A14" i="14"/>
  <c r="B14" i="14"/>
  <c r="D14" i="14"/>
  <c r="F14" i="14"/>
  <c r="Q37" i="9"/>
  <c r="Q39" i="9"/>
  <c r="Q27" i="9"/>
  <c r="Q33" i="9"/>
  <c r="S37" i="9"/>
  <c r="S25" i="9"/>
  <c r="S35" i="9"/>
  <c r="S27" i="9"/>
  <c r="S29" i="9"/>
  <c r="S41" i="9"/>
  <c r="S33" i="9"/>
  <c r="S39" i="9"/>
  <c r="S31" i="9"/>
  <c r="O41" i="9"/>
  <c r="O33" i="9"/>
  <c r="O39" i="9"/>
  <c r="O31" i="9"/>
  <c r="O37" i="9"/>
  <c r="O29" i="9"/>
  <c r="O25" i="9"/>
  <c r="O35" i="9"/>
  <c r="O27" i="9"/>
  <c r="Q30" i="9"/>
  <c r="Q38" i="9"/>
  <c r="C14" i="14"/>
  <c r="E14" i="14"/>
  <c r="A15" i="14"/>
  <c r="B15" i="14"/>
  <c r="D15" i="14"/>
  <c r="F15" i="14"/>
  <c r="A17" i="4"/>
  <c r="L16" i="4"/>
  <c r="A18" i="4"/>
  <c r="B18" i="4"/>
  <c r="K18" i="4"/>
  <c r="C15" i="14"/>
  <c r="E15" i="14"/>
  <c r="G15" i="14"/>
  <c r="A16" i="14"/>
  <c r="B16" i="14"/>
  <c r="D16" i="14"/>
  <c r="F16" i="14"/>
  <c r="A17" i="14"/>
  <c r="B17" i="14"/>
  <c r="D17" i="14"/>
  <c r="F17" i="14"/>
  <c r="C16" i="14"/>
  <c r="E16" i="14"/>
  <c r="G16" i="14"/>
  <c r="L18" i="4"/>
  <c r="C17" i="14"/>
  <c r="E17" i="14"/>
  <c r="K21" i="5"/>
  <c r="K40" i="5"/>
  <c r="M21" i="5"/>
  <c r="M40" i="5"/>
  <c r="J21" i="5"/>
  <c r="J40" i="5"/>
  <c r="I21" i="5"/>
  <c r="I40" i="5"/>
  <c r="L21" i="5"/>
  <c r="L40" i="5"/>
  <c r="F21" i="5"/>
  <c r="F40" i="5"/>
  <c r="B21" i="5"/>
  <c r="C21" i="5"/>
  <c r="D21" i="5"/>
  <c r="E21" i="5"/>
  <c r="E40" i="5"/>
  <c r="G17" i="14"/>
  <c r="G14" i="14"/>
  <c r="E11" i="14"/>
  <c r="A18" i="14"/>
  <c r="A19" i="4"/>
  <c r="B17" i="4"/>
  <c r="G17" i="4"/>
  <c r="N24" i="9"/>
  <c r="N32" i="9"/>
  <c r="N40" i="9"/>
  <c r="N37" i="9"/>
  <c r="N38" i="9"/>
  <c r="N35" i="9"/>
  <c r="B22" i="5"/>
  <c r="D42" i="12"/>
  <c r="J40" i="9"/>
  <c r="L38" i="9"/>
  <c r="J36" i="9"/>
  <c r="L34" i="9"/>
  <c r="J32" i="9"/>
  <c r="L30" i="9"/>
  <c r="L42" i="9" a="1"/>
  <c r="L42" i="9"/>
  <c r="O29" i="3"/>
  <c r="I29" i="3"/>
  <c r="E29" i="3"/>
  <c r="M56" i="3"/>
  <c r="U27" i="16"/>
  <c r="U28" i="16"/>
  <c r="H34" i="10"/>
  <c r="J33" i="10"/>
  <c r="L32" i="10"/>
  <c r="C10" i="14"/>
  <c r="E10" i="14"/>
  <c r="D11" i="14"/>
  <c r="F11" i="14"/>
  <c r="D28" i="3"/>
  <c r="M19" i="3"/>
  <c r="G19" i="3"/>
  <c r="O58" i="3"/>
  <c r="O62" i="3"/>
  <c r="M58" i="3"/>
  <c r="M62" i="3"/>
  <c r="K58" i="3"/>
  <c r="K62" i="3"/>
  <c r="I58" i="3"/>
  <c r="I62" i="3"/>
  <c r="G58" i="3"/>
  <c r="G62" i="3"/>
  <c r="E58" i="3"/>
  <c r="E62" i="3"/>
  <c r="C58" i="3"/>
  <c r="B57" i="3"/>
  <c r="B61" i="3"/>
  <c r="N57" i="3"/>
  <c r="N61" i="3"/>
  <c r="L57" i="3"/>
  <c r="L61" i="3"/>
  <c r="J57" i="3"/>
  <c r="J61" i="3"/>
  <c r="H57" i="3"/>
  <c r="F57" i="3"/>
  <c r="D57" i="3"/>
  <c r="O61" i="3"/>
  <c r="E11" i="4"/>
  <c r="E30" i="4"/>
  <c r="E28" i="4"/>
  <c r="E26" i="4"/>
  <c r="E24" i="4"/>
  <c r="E22" i="4"/>
  <c r="E20" i="4"/>
  <c r="E18" i="4"/>
  <c r="E16" i="4"/>
  <c r="E14" i="4"/>
  <c r="E12" i="4"/>
  <c r="F31" i="4"/>
  <c r="F29" i="4"/>
  <c r="F27" i="4"/>
  <c r="F25" i="4"/>
  <c r="F23" i="4"/>
  <c r="F21" i="4"/>
  <c r="F19" i="4"/>
  <c r="F17" i="4"/>
  <c r="F15" i="4"/>
  <c r="F13" i="4"/>
  <c r="G11" i="4"/>
  <c r="G18" i="4"/>
  <c r="G16" i="4"/>
  <c r="G14" i="4"/>
  <c r="G12" i="4"/>
  <c r="H18" i="4"/>
  <c r="H16" i="4"/>
  <c r="H14" i="4"/>
  <c r="H12" i="4"/>
  <c r="K11" i="4"/>
  <c r="K17" i="4"/>
  <c r="K15" i="4"/>
  <c r="K31" i="4"/>
  <c r="L31" i="4"/>
  <c r="L15" i="4"/>
  <c r="N41" i="9"/>
  <c r="C22" i="5"/>
  <c r="D22" i="5"/>
  <c r="B13" i="4"/>
  <c r="G13" i="4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F41" i="12"/>
  <c r="C42" i="12"/>
  <c r="E44" i="12" a="1"/>
  <c r="E44" i="12"/>
  <c r="G26" i="12" a="1"/>
  <c r="G26" i="12"/>
  <c r="G28" i="12"/>
  <c r="G30" i="12" a="1"/>
  <c r="G30" i="12"/>
  <c r="G32" i="12"/>
  <c r="G34" i="12" a="1"/>
  <c r="G34" i="12"/>
  <c r="G36" i="12"/>
  <c r="G38" i="12" a="1"/>
  <c r="G38" i="12"/>
  <c r="G40" i="12"/>
  <c r="F48" i="9"/>
  <c r="F49" i="9"/>
  <c r="C29" i="3"/>
  <c r="N58" i="3"/>
  <c r="N62" i="3"/>
  <c r="L58" i="3"/>
  <c r="L62" i="3"/>
  <c r="J58" i="3"/>
  <c r="J62" i="3"/>
  <c r="H58" i="3"/>
  <c r="H62" i="3"/>
  <c r="F58" i="3"/>
  <c r="F62" i="3"/>
  <c r="B62" i="3"/>
  <c r="C57" i="3"/>
  <c r="C61" i="3"/>
  <c r="M57" i="3"/>
  <c r="M61" i="3"/>
  <c r="K57" i="3"/>
  <c r="K61" i="3"/>
  <c r="I57" i="3"/>
  <c r="I61" i="3"/>
  <c r="G57" i="3"/>
  <c r="G61" i="3"/>
  <c r="D61" i="3"/>
  <c r="G31" i="4"/>
  <c r="H11" i="4"/>
  <c r="B46" i="3"/>
  <c r="M25" i="12"/>
  <c r="M34" i="12"/>
  <c r="M32" i="12"/>
  <c r="M27" i="12"/>
  <c r="M35" i="12"/>
  <c r="M26" i="12"/>
  <c r="M24" i="12"/>
  <c r="M40" i="12"/>
  <c r="M23" i="12"/>
  <c r="M31" i="12"/>
  <c r="M39" i="12"/>
  <c r="K27" i="12"/>
  <c r="K29" i="12"/>
  <c r="K37" i="12"/>
  <c r="K36" i="12"/>
  <c r="K30" i="12"/>
  <c r="K25" i="12"/>
  <c r="K33" i="12"/>
  <c r="K28" i="12"/>
  <c r="F46" i="15" a="1"/>
  <c r="F46" i="15"/>
  <c r="L43" i="15" a="1"/>
  <c r="L43" i="15"/>
  <c r="R36" i="15"/>
  <c r="O43" i="15" a="1"/>
  <c r="O43" i="15"/>
  <c r="E47" i="9"/>
  <c r="D47" i="9"/>
  <c r="E48" i="9"/>
  <c r="E49" i="9"/>
  <c r="M64" i="3"/>
  <c r="K64" i="3"/>
  <c r="I64" i="3"/>
  <c r="G64" i="3"/>
  <c r="E64" i="3"/>
  <c r="C62" i="3"/>
  <c r="C64" i="3"/>
  <c r="K24" i="3"/>
  <c r="K28" i="3"/>
  <c r="G24" i="3"/>
  <c r="G28" i="3"/>
  <c r="N41" i="3"/>
  <c r="N45" i="3"/>
  <c r="O42" i="3"/>
  <c r="O46" i="3"/>
  <c r="I42" i="3"/>
  <c r="I46" i="3"/>
  <c r="Q25" i="9"/>
  <c r="Q41" i="9"/>
  <c r="Q31" i="9"/>
  <c r="Q29" i="9"/>
  <c r="Q35" i="9"/>
  <c r="Q26" i="9"/>
  <c r="Q40" i="9"/>
  <c r="S28" i="9"/>
  <c r="M43" i="15" a="1"/>
  <c r="M43" i="15"/>
  <c r="F7" i="4"/>
  <c r="N31" i="4"/>
  <c r="P31" i="4"/>
  <c r="D45" i="12" a="1"/>
  <c r="D45" i="12"/>
  <c r="I26" i="12"/>
  <c r="D41" i="12"/>
  <c r="B41" i="12"/>
  <c r="G41" i="12"/>
  <c r="K24" i="12"/>
  <c r="F45" i="12" a="1"/>
  <c r="F45" i="12"/>
  <c r="G25" i="12"/>
  <c r="E42" i="12"/>
  <c r="K26" i="12"/>
  <c r="G27" i="12"/>
  <c r="M28" i="12"/>
  <c r="G29" i="12"/>
  <c r="M30" i="12"/>
  <c r="G31" i="12"/>
  <c r="K32" i="12"/>
  <c r="G33" i="12"/>
  <c r="K34" i="12"/>
  <c r="G35" i="12"/>
  <c r="M36" i="12"/>
  <c r="G37" i="12"/>
  <c r="K38" i="12"/>
  <c r="M38" i="12"/>
  <c r="G39" i="12"/>
  <c r="K40" i="12"/>
  <c r="W11" i="16"/>
  <c r="W15" i="16"/>
  <c r="W19" i="16"/>
  <c r="U23" i="16"/>
  <c r="U24" i="16"/>
  <c r="W25" i="16"/>
  <c r="L38" i="10"/>
  <c r="V37" i="10"/>
  <c r="N37" i="10"/>
  <c r="F37" i="10"/>
  <c r="P36" i="10"/>
  <c r="H36" i="10"/>
  <c r="R35" i="10"/>
  <c r="J35" i="10"/>
  <c r="T34" i="10"/>
  <c r="L34" i="10"/>
  <c r="V33" i="10"/>
  <c r="N33" i="10"/>
  <c r="F33" i="10"/>
  <c r="P32" i="10"/>
  <c r="H32" i="10"/>
  <c r="N25" i="3"/>
  <c r="N29" i="3"/>
  <c r="H61" i="3"/>
  <c r="F61" i="3"/>
  <c r="O24" i="3"/>
  <c r="O28" i="3"/>
  <c r="O31" i="3"/>
  <c r="I24" i="3"/>
  <c r="I28" i="3"/>
  <c r="E24" i="3"/>
  <c r="E28" i="3"/>
  <c r="D41" i="3"/>
  <c r="D45" i="3"/>
  <c r="D42" i="3"/>
  <c r="D46" i="3"/>
  <c r="D48" i="3"/>
  <c r="K42" i="3"/>
  <c r="K46" i="3"/>
  <c r="G42" i="3"/>
  <c r="G46" i="3"/>
  <c r="U34" i="15"/>
  <c r="U39" i="15"/>
  <c r="U38" i="15"/>
  <c r="U30" i="15"/>
  <c r="U24" i="15"/>
  <c r="U31" i="15"/>
  <c r="U37" i="15"/>
  <c r="U42" i="15"/>
  <c r="U27" i="15"/>
  <c r="U41" i="15"/>
  <c r="U33" i="15"/>
  <c r="U28" i="15"/>
  <c r="U26" i="15"/>
  <c r="U32" i="15"/>
  <c r="U29" i="15"/>
  <c r="U40" i="15"/>
  <c r="U23" i="15"/>
  <c r="U35" i="15"/>
  <c r="U25" i="15"/>
  <c r="U36" i="15"/>
  <c r="S37" i="15"/>
  <c r="S32" i="15"/>
  <c r="S35" i="15"/>
  <c r="S40" i="15"/>
  <c r="S28" i="15"/>
  <c r="S33" i="15"/>
  <c r="S42" i="15"/>
  <c r="R34" i="15"/>
  <c r="R26" i="15"/>
  <c r="R40" i="15"/>
  <c r="R32" i="15"/>
  <c r="R24" i="15"/>
  <c r="R25" i="15"/>
  <c r="R41" i="15"/>
  <c r="Q32" i="9"/>
  <c r="Q24" i="9"/>
  <c r="Q36" i="9"/>
  <c r="Q28" i="9"/>
  <c r="S24" i="9"/>
  <c r="S40" i="9"/>
  <c r="S32" i="9"/>
  <c r="S34" i="9"/>
  <c r="S26" i="9"/>
  <c r="AS27" i="16"/>
  <c r="B40" i="15"/>
  <c r="I40" i="15"/>
  <c r="AS23" i="16"/>
  <c r="AL9" i="16"/>
  <c r="AJ35" i="16"/>
  <c r="B36" i="15"/>
  <c r="I36" i="15"/>
  <c r="AS19" i="16"/>
  <c r="B32" i="15"/>
  <c r="I32" i="15"/>
  <c r="AS15" i="16"/>
  <c r="B28" i="15"/>
  <c r="I28" i="15"/>
  <c r="AS11" i="16"/>
  <c r="B24" i="15"/>
  <c r="I24" i="15"/>
  <c r="M11" i="4"/>
  <c r="O11" i="4"/>
  <c r="K43" i="15" a="1"/>
  <c r="K43" i="15"/>
  <c r="J43" i="15" a="1"/>
  <c r="J43" i="15"/>
  <c r="G46" i="15" a="1"/>
  <c r="G46" i="15"/>
  <c r="E46" i="15" a="1"/>
  <c r="E46" i="15"/>
  <c r="D46" i="15" a="1"/>
  <c r="D46" i="15"/>
  <c r="F47" i="12"/>
  <c r="C46" i="15" a="1"/>
  <c r="C46" i="15"/>
  <c r="N43" i="15" a="1"/>
  <c r="N43" i="15"/>
  <c r="C48" i="9"/>
  <c r="C49" i="9"/>
  <c r="B48" i="9"/>
  <c r="B47" i="9"/>
  <c r="D48" i="9"/>
  <c r="D49" i="9"/>
  <c r="I11" i="4"/>
  <c r="I31" i="4"/>
  <c r="I15" i="4"/>
  <c r="I17" i="4"/>
  <c r="I12" i="4"/>
  <c r="I18" i="4"/>
  <c r="I14" i="4"/>
  <c r="I16" i="4"/>
  <c r="I13" i="4"/>
  <c r="C44" i="12" a="1"/>
  <c r="C44" i="12"/>
  <c r="D31" i="3"/>
  <c r="D64" i="3"/>
  <c r="J13" i="4"/>
  <c r="J15" i="4"/>
  <c r="J17" i="4"/>
  <c r="J31" i="4"/>
  <c r="J12" i="4"/>
  <c r="N12" i="4"/>
  <c r="P12" i="4"/>
  <c r="J14" i="4"/>
  <c r="J16" i="4"/>
  <c r="J18" i="4"/>
  <c r="N18" i="4"/>
  <c r="P18" i="4"/>
  <c r="J11" i="4"/>
  <c r="N11" i="4"/>
  <c r="P11" i="4"/>
  <c r="B44" i="12" a="1"/>
  <c r="B44" i="12"/>
  <c r="I39" i="12"/>
  <c r="I35" i="12"/>
  <c r="I31" i="12"/>
  <c r="I27" i="12"/>
  <c r="I23" i="12"/>
  <c r="M37" i="12"/>
  <c r="M33" i="12"/>
  <c r="M29" i="12"/>
  <c r="K39" i="12"/>
  <c r="K35" i="12"/>
  <c r="K31" i="12"/>
  <c r="K23" i="12"/>
  <c r="D44" i="12" a="1"/>
  <c r="D44" i="12"/>
  <c r="I28" i="12"/>
  <c r="I36" i="12"/>
  <c r="I38" i="12"/>
  <c r="I24" i="12"/>
  <c r="B64" i="3"/>
  <c r="N64" i="3"/>
  <c r="L64" i="3"/>
  <c r="J64" i="3"/>
  <c r="H64" i="3"/>
  <c r="F64" i="3"/>
  <c r="O64" i="3"/>
  <c r="K31" i="3"/>
  <c r="I31" i="3"/>
  <c r="E31" i="3"/>
  <c r="B24" i="3"/>
  <c r="B28" i="3"/>
  <c r="M24" i="3"/>
  <c r="B25" i="3"/>
  <c r="B29" i="3"/>
  <c r="B41" i="3"/>
  <c r="B45" i="3"/>
  <c r="L41" i="3"/>
  <c r="L45" i="3"/>
  <c r="J41" i="3"/>
  <c r="J45" i="3"/>
  <c r="J48" i="3"/>
  <c r="H41" i="3"/>
  <c r="H45" i="3"/>
  <c r="H48" i="3"/>
  <c r="F41" i="3"/>
  <c r="F45" i="3"/>
  <c r="F48" i="3"/>
  <c r="M42" i="3"/>
  <c r="M46" i="3"/>
  <c r="U29" i="16"/>
  <c r="U11" i="16"/>
  <c r="U13" i="16"/>
  <c r="U15" i="16"/>
  <c r="U17" i="16"/>
  <c r="U19" i="16"/>
  <c r="U21" i="16"/>
  <c r="U25" i="16"/>
  <c r="U31" i="10"/>
  <c r="Q31" i="10"/>
  <c r="M31" i="10"/>
  <c r="I31" i="10"/>
  <c r="V48" i="10"/>
  <c r="R48" i="10"/>
  <c r="N48" i="10"/>
  <c r="J48" i="10"/>
  <c r="F48" i="10"/>
  <c r="T47" i="10"/>
  <c r="P47" i="10"/>
  <c r="L47" i="10"/>
  <c r="H47" i="10"/>
  <c r="V46" i="10"/>
  <c r="R46" i="10"/>
  <c r="N46" i="10"/>
  <c r="J46" i="10"/>
  <c r="F46" i="10"/>
  <c r="T45" i="10"/>
  <c r="P45" i="10"/>
  <c r="L45" i="10"/>
  <c r="H45" i="10"/>
  <c r="V44" i="10"/>
  <c r="R44" i="10"/>
  <c r="N44" i="10"/>
  <c r="J44" i="10"/>
  <c r="F44" i="10"/>
  <c r="T43" i="10"/>
  <c r="P43" i="10"/>
  <c r="L43" i="10"/>
  <c r="H43" i="10"/>
  <c r="V42" i="10"/>
  <c r="R42" i="10"/>
  <c r="N42" i="10"/>
  <c r="J42" i="10"/>
  <c r="F42" i="10"/>
  <c r="T41" i="10"/>
  <c r="P41" i="10"/>
  <c r="L41" i="10"/>
  <c r="H41" i="10"/>
  <c r="V40" i="10"/>
  <c r="R40" i="10"/>
  <c r="N40" i="10"/>
  <c r="J40" i="10"/>
  <c r="F40" i="10"/>
  <c r="T39" i="10"/>
  <c r="P39" i="10"/>
  <c r="L39" i="10"/>
  <c r="H39" i="10"/>
  <c r="V38" i="10"/>
  <c r="R38" i="10"/>
  <c r="N38" i="10"/>
  <c r="J38" i="10"/>
  <c r="F38" i="10"/>
  <c r="T37" i="10"/>
  <c r="P37" i="10"/>
  <c r="L37" i="10"/>
  <c r="H37" i="10"/>
  <c r="V36" i="10"/>
  <c r="R36" i="10"/>
  <c r="N36" i="10"/>
  <c r="J36" i="10"/>
  <c r="F36" i="10"/>
  <c r="T35" i="10"/>
  <c r="P35" i="10"/>
  <c r="L35" i="10"/>
  <c r="H35" i="10"/>
  <c r="V34" i="10"/>
  <c r="R34" i="10"/>
  <c r="N34" i="10"/>
  <c r="J34" i="10"/>
  <c r="F34" i="10"/>
  <c r="T33" i="10"/>
  <c r="P33" i="10"/>
  <c r="L33" i="10"/>
  <c r="H33" i="10"/>
  <c r="V32" i="10"/>
  <c r="R32" i="10"/>
  <c r="N32" i="10"/>
  <c r="J32" i="10"/>
  <c r="L25" i="3"/>
  <c r="L29" i="3"/>
  <c r="C24" i="3"/>
  <c r="C28" i="3"/>
  <c r="C31" i="3"/>
  <c r="N24" i="3"/>
  <c r="N28" i="3"/>
  <c r="N31" i="3"/>
  <c r="L24" i="3"/>
  <c r="L28" i="3"/>
  <c r="L31" i="3"/>
  <c r="J24" i="3"/>
  <c r="J28" i="3"/>
  <c r="J31" i="3"/>
  <c r="H24" i="3"/>
  <c r="H28" i="3"/>
  <c r="H31" i="3"/>
  <c r="F24" i="3"/>
  <c r="F28" i="3"/>
  <c r="F31" i="3"/>
  <c r="C41" i="3"/>
  <c r="C45" i="3"/>
  <c r="C48" i="3"/>
  <c r="E41" i="3"/>
  <c r="E45" i="3"/>
  <c r="L48" i="3"/>
  <c r="N48" i="3"/>
  <c r="I48" i="3"/>
  <c r="K48" i="3"/>
  <c r="E48" i="3"/>
  <c r="B48" i="3"/>
  <c r="O48" i="3"/>
  <c r="B31" i="3"/>
  <c r="C48" i="15"/>
  <c r="R31" i="9"/>
  <c r="R36" i="9"/>
  <c r="R24" i="9"/>
  <c r="R41" i="9"/>
  <c r="R40" i="9"/>
  <c r="R29" i="9"/>
  <c r="R37" i="9"/>
  <c r="R26" i="9"/>
  <c r="R39" i="9"/>
  <c r="R30" i="9"/>
  <c r="R33" i="9"/>
  <c r="R32" i="9"/>
  <c r="R28" i="9"/>
  <c r="R25" i="9"/>
  <c r="R35" i="9"/>
  <c r="R27" i="9"/>
  <c r="R34" i="9"/>
  <c r="J26" i="12"/>
  <c r="J30" i="12"/>
  <c r="J34" i="12"/>
  <c r="J38" i="12"/>
  <c r="J23" i="12"/>
  <c r="J31" i="12"/>
  <c r="J39" i="12"/>
  <c r="J33" i="12"/>
  <c r="J29" i="12"/>
  <c r="J24" i="12"/>
  <c r="J28" i="12"/>
  <c r="J32" i="12"/>
  <c r="J36" i="12"/>
  <c r="J40" i="12"/>
  <c r="J27" i="12"/>
  <c r="J35" i="12"/>
  <c r="J25" i="12"/>
  <c r="J37" i="12"/>
  <c r="M41" i="3"/>
  <c r="M45" i="3"/>
  <c r="M25" i="3"/>
  <c r="M29" i="3"/>
  <c r="AP8" i="16"/>
  <c r="Y27" i="16"/>
  <c r="W53" i="16"/>
  <c r="AA27" i="16"/>
  <c r="Y53" i="16"/>
  <c r="AC27" i="16"/>
  <c r="AA53" i="16"/>
  <c r="AE27" i="16"/>
  <c r="AC53" i="16"/>
  <c r="AG27" i="16"/>
  <c r="AE53" i="16"/>
  <c r="AI27" i="16"/>
  <c r="AG53" i="16"/>
  <c r="AK27" i="16"/>
  <c r="AI53" i="16"/>
  <c r="AO27" i="16"/>
  <c r="AM53" i="16"/>
  <c r="N42" i="9" a="1"/>
  <c r="N42" i="9"/>
  <c r="T24" i="9"/>
  <c r="B19" i="4"/>
  <c r="G19" i="4"/>
  <c r="K19" i="4"/>
  <c r="A20" i="4"/>
  <c r="N14" i="4"/>
  <c r="P14" i="4"/>
  <c r="N15" i="4"/>
  <c r="P15" i="4"/>
  <c r="M16" i="4"/>
  <c r="O16" i="4"/>
  <c r="E47" i="12"/>
  <c r="K13" i="4"/>
  <c r="G11" i="14"/>
  <c r="D40" i="5"/>
  <c r="B40" i="5"/>
  <c r="H13" i="4"/>
  <c r="L13" i="4"/>
  <c r="G41" i="3"/>
  <c r="G45" i="3"/>
  <c r="G48" i="3"/>
  <c r="G25" i="3"/>
  <c r="AO28" i="16"/>
  <c r="AM54" i="16"/>
  <c r="AI28" i="16"/>
  <c r="AG54" i="16"/>
  <c r="AE28" i="16"/>
  <c r="AC54" i="16"/>
  <c r="AA28" i="16"/>
  <c r="Y54" i="16"/>
  <c r="AQ8" i="16"/>
  <c r="AQ27" i="16"/>
  <c r="AO53" i="16"/>
  <c r="AK28" i="16"/>
  <c r="AI54" i="16"/>
  <c r="AG28" i="16"/>
  <c r="AE54" i="16"/>
  <c r="AC28" i="16"/>
  <c r="AA54" i="16"/>
  <c r="Y28" i="16"/>
  <c r="W54" i="16"/>
  <c r="H17" i="4"/>
  <c r="L17" i="4"/>
  <c r="M17" i="4"/>
  <c r="O17" i="4"/>
  <c r="B18" i="14"/>
  <c r="D18" i="14"/>
  <c r="F18" i="14"/>
  <c r="C18" i="14"/>
  <c r="E18" i="14"/>
  <c r="A19" i="14"/>
  <c r="M48" i="3"/>
  <c r="N13" i="4"/>
  <c r="P13" i="4"/>
  <c r="M12" i="4"/>
  <c r="O12" i="4"/>
  <c r="C47" i="15" a="1"/>
  <c r="C47" i="15"/>
  <c r="R38" i="9"/>
  <c r="J42" i="9" a="1"/>
  <c r="J42" i="9"/>
  <c r="P32" i="9"/>
  <c r="C40" i="5"/>
  <c r="N34" i="12"/>
  <c r="N32" i="12"/>
  <c r="N40" i="12"/>
  <c r="N26" i="12"/>
  <c r="N24" i="12"/>
  <c r="N33" i="12"/>
  <c r="N23" i="12"/>
  <c r="N30" i="12"/>
  <c r="N36" i="12"/>
  <c r="N28" i="12"/>
  <c r="N37" i="12"/>
  <c r="N38" i="12"/>
  <c r="N35" i="12"/>
  <c r="N39" i="12"/>
  <c r="AP24" i="16"/>
  <c r="AN50" i="16"/>
  <c r="Y24" i="16"/>
  <c r="W50" i="16"/>
  <c r="AA24" i="16"/>
  <c r="Y50" i="16"/>
  <c r="AC24" i="16"/>
  <c r="AA50" i="16"/>
  <c r="AE24" i="16"/>
  <c r="AC50" i="16"/>
  <c r="AG24" i="16"/>
  <c r="AE50" i="16"/>
  <c r="AI24" i="16"/>
  <c r="AG50" i="16"/>
  <c r="AK24" i="16"/>
  <c r="AI50" i="16"/>
  <c r="AO24" i="16"/>
  <c r="AM50" i="16"/>
  <c r="AM8" i="16"/>
  <c r="AM23" i="16"/>
  <c r="AK49" i="16"/>
  <c r="L24" i="12"/>
  <c r="L28" i="12"/>
  <c r="L32" i="12"/>
  <c r="L36" i="12"/>
  <c r="L40" i="12"/>
  <c r="L29" i="12"/>
  <c r="L37" i="12"/>
  <c r="L27" i="12"/>
  <c r="L39" i="12"/>
  <c r="L26" i="12"/>
  <c r="L30" i="12"/>
  <c r="L34" i="12"/>
  <c r="L38" i="12"/>
  <c r="L25" i="12"/>
  <c r="L33" i="12"/>
  <c r="L23" i="12"/>
  <c r="L31" i="12"/>
  <c r="L35" i="12"/>
  <c r="S27" i="15"/>
  <c r="S30" i="15"/>
  <c r="S31" i="15"/>
  <c r="S25" i="15"/>
  <c r="S34" i="15"/>
  <c r="S29" i="15"/>
  <c r="S41" i="15"/>
  <c r="S26" i="15"/>
  <c r="S24" i="15"/>
  <c r="S23" i="15"/>
  <c r="S38" i="15"/>
  <c r="S39" i="15"/>
  <c r="R38" i="15"/>
  <c r="R42" i="15"/>
  <c r="R28" i="15"/>
  <c r="R33" i="15"/>
  <c r="R23" i="15"/>
  <c r="R31" i="15"/>
  <c r="R39" i="15"/>
  <c r="R35" i="15"/>
  <c r="R30" i="15"/>
  <c r="R29" i="15"/>
  <c r="R37" i="15"/>
  <c r="R27" i="15"/>
  <c r="N31" i="12"/>
  <c r="N29" i="12"/>
  <c r="N27" i="12"/>
  <c r="G47" i="15" a="1"/>
  <c r="G47" i="15"/>
  <c r="D47" i="15" a="1"/>
  <c r="D47" i="15"/>
  <c r="AL8" i="16"/>
  <c r="AQ23" i="16"/>
  <c r="AO49" i="16"/>
  <c r="Y23" i="16"/>
  <c r="W49" i="16"/>
  <c r="AA23" i="16"/>
  <c r="Y49" i="16"/>
  <c r="AC23" i="16"/>
  <c r="AA49" i="16"/>
  <c r="AE23" i="16"/>
  <c r="AC49" i="16"/>
  <c r="AG23" i="16"/>
  <c r="AE49" i="16"/>
  <c r="AI23" i="16"/>
  <c r="AG49" i="16"/>
  <c r="AK23" i="16"/>
  <c r="AI49" i="16"/>
  <c r="AO23" i="16"/>
  <c r="AM49" i="16"/>
  <c r="C47" i="12"/>
  <c r="D47" i="12"/>
  <c r="B47" i="12"/>
  <c r="B49" i="9"/>
  <c r="E48" i="15"/>
  <c r="N25" i="12"/>
  <c r="E47" i="15" a="1"/>
  <c r="E47" i="15"/>
  <c r="S36" i="15"/>
  <c r="F47" i="15" a="1"/>
  <c r="F47" i="15"/>
  <c r="AP25" i="16"/>
  <c r="AN51" i="16"/>
  <c r="AL25" i="16"/>
  <c r="AJ51" i="16"/>
  <c r="AN8" i="16"/>
  <c r="AN25" i="16"/>
  <c r="AL51" i="16"/>
  <c r="Y25" i="16"/>
  <c r="W51" i="16"/>
  <c r="AA25" i="16"/>
  <c r="Y51" i="16"/>
  <c r="AC25" i="16"/>
  <c r="AA51" i="16"/>
  <c r="AE25" i="16"/>
  <c r="AC51" i="16"/>
  <c r="AG25" i="16"/>
  <c r="AE51" i="16"/>
  <c r="AI25" i="16"/>
  <c r="AG51" i="16"/>
  <c r="AK25" i="16"/>
  <c r="AI51" i="16"/>
  <c r="AM25" i="16"/>
  <c r="AK51" i="16"/>
  <c r="AO25" i="16"/>
  <c r="AM51" i="16"/>
  <c r="AQ25" i="16"/>
  <c r="AO51" i="16"/>
  <c r="AP19" i="16"/>
  <c r="AN45" i="16"/>
  <c r="AL19" i="16"/>
  <c r="AJ45" i="16"/>
  <c r="AH8" i="16"/>
  <c r="AN19" i="16"/>
  <c r="AL45" i="16"/>
  <c r="AQ19" i="16"/>
  <c r="AO45" i="16"/>
  <c r="AH19" i="16"/>
  <c r="AF45" i="16"/>
  <c r="Y19" i="16"/>
  <c r="W45" i="16"/>
  <c r="AA19" i="16"/>
  <c r="Y45" i="16"/>
  <c r="AC19" i="16"/>
  <c r="AA45" i="16"/>
  <c r="AE19" i="16"/>
  <c r="AC45" i="16"/>
  <c r="AG19" i="16"/>
  <c r="AE45" i="16"/>
  <c r="AI19" i="16"/>
  <c r="AG45" i="16"/>
  <c r="AK19" i="16"/>
  <c r="AI45" i="16"/>
  <c r="AM19" i="16"/>
  <c r="AK45" i="16"/>
  <c r="AO19" i="16"/>
  <c r="AM45" i="16"/>
  <c r="AP15" i="16"/>
  <c r="AN41" i="16"/>
  <c r="AL15" i="16"/>
  <c r="AJ41" i="16"/>
  <c r="AD8" i="16"/>
  <c r="AD11" i="16"/>
  <c r="AB37" i="16"/>
  <c r="AN15" i="16"/>
  <c r="AL41" i="16"/>
  <c r="AD15" i="16"/>
  <c r="AB41" i="16"/>
  <c r="AQ15" i="16"/>
  <c r="AO41" i="16"/>
  <c r="Y15" i="16"/>
  <c r="W41" i="16"/>
  <c r="AA15" i="16"/>
  <c r="Y41" i="16"/>
  <c r="AC15" i="16"/>
  <c r="AA41" i="16"/>
  <c r="AE15" i="16"/>
  <c r="AC41" i="16"/>
  <c r="AG15" i="16"/>
  <c r="AE41" i="16"/>
  <c r="AI15" i="16"/>
  <c r="AG41" i="16"/>
  <c r="AK15" i="16"/>
  <c r="AI41" i="16"/>
  <c r="AM15" i="16"/>
  <c r="AK41" i="16"/>
  <c r="AO15" i="16"/>
  <c r="AM41" i="16"/>
  <c r="AP11" i="16"/>
  <c r="AN37" i="16"/>
  <c r="AL11" i="16"/>
  <c r="AJ37" i="16"/>
  <c r="Z8" i="16"/>
  <c r="AN11" i="16"/>
  <c r="AL37" i="16"/>
  <c r="AB8" i="16"/>
  <c r="AB11" i="16"/>
  <c r="Z37" i="16"/>
  <c r="AQ11" i="16"/>
  <c r="AO37" i="16"/>
  <c r="AH11" i="16"/>
  <c r="AF37" i="16"/>
  <c r="Y11" i="16"/>
  <c r="W37" i="16"/>
  <c r="AA11" i="16"/>
  <c r="Y37" i="16"/>
  <c r="AC11" i="16"/>
  <c r="AA37" i="16"/>
  <c r="AE11" i="16"/>
  <c r="AC37" i="16"/>
  <c r="AG11" i="16"/>
  <c r="AE37" i="16"/>
  <c r="AI11" i="16"/>
  <c r="AG37" i="16"/>
  <c r="AK11" i="16"/>
  <c r="AI37" i="16"/>
  <c r="AM11" i="16"/>
  <c r="AK37" i="16"/>
  <c r="AO11" i="16"/>
  <c r="AM37" i="16"/>
  <c r="D46" i="12"/>
  <c r="D48" i="12"/>
  <c r="I41" i="12" a="1"/>
  <c r="I41" i="12"/>
  <c r="O23" i="12"/>
  <c r="C46" i="12"/>
  <c r="C48" i="12"/>
  <c r="T26" i="15"/>
  <c r="T30" i="15"/>
  <c r="T36" i="15"/>
  <c r="T42" i="15"/>
  <c r="T40" i="15"/>
  <c r="T28" i="15"/>
  <c r="T38" i="15"/>
  <c r="T35" i="15"/>
  <c r="T31" i="15"/>
  <c r="T27" i="15"/>
  <c r="T23" i="15"/>
  <c r="T24" i="15"/>
  <c r="T32" i="15"/>
  <c r="T41" i="15"/>
  <c r="T33" i="15"/>
  <c r="T25" i="15"/>
  <c r="T34" i="15"/>
  <c r="T37" i="15"/>
  <c r="T29" i="15"/>
  <c r="P31" i="15"/>
  <c r="P35" i="15"/>
  <c r="P23" i="15"/>
  <c r="P34" i="15"/>
  <c r="P26" i="15"/>
  <c r="P40" i="15"/>
  <c r="P32" i="15"/>
  <c r="P24" i="15"/>
  <c r="P25" i="15"/>
  <c r="P29" i="15"/>
  <c r="P33" i="15"/>
  <c r="P37" i="15"/>
  <c r="P41" i="15"/>
  <c r="P27" i="15"/>
  <c r="P38" i="15"/>
  <c r="P30" i="15"/>
  <c r="P42" i="15"/>
  <c r="P36" i="15"/>
  <c r="P28" i="15"/>
  <c r="Q28" i="15"/>
  <c r="Q24" i="15"/>
  <c r="Q40" i="15"/>
  <c r="Q35" i="15"/>
  <c r="Q27" i="15"/>
  <c r="Q29" i="15"/>
  <c r="Q39" i="15"/>
  <c r="Q34" i="15"/>
  <c r="Q38" i="15"/>
  <c r="Q25" i="15"/>
  <c r="Q41" i="15"/>
  <c r="Q23" i="15"/>
  <c r="Q32" i="15"/>
  <c r="Q31" i="15"/>
  <c r="Q37" i="15"/>
  <c r="Q42" i="15"/>
  <c r="Q26" i="15"/>
  <c r="Q30" i="15"/>
  <c r="Q33" i="15"/>
  <c r="Q36" i="15"/>
  <c r="N41" i="12" a="1"/>
  <c r="N41" i="12"/>
  <c r="T23" i="12"/>
  <c r="AP21" i="16"/>
  <c r="AN47" i="16"/>
  <c r="AL21" i="16"/>
  <c r="AJ47" i="16"/>
  <c r="AJ8" i="16"/>
  <c r="AJ15" i="16"/>
  <c r="AH41" i="16"/>
  <c r="AN21" i="16"/>
  <c r="AL47" i="16"/>
  <c r="Z21" i="16"/>
  <c r="X47" i="16"/>
  <c r="AQ21" i="16"/>
  <c r="AO47" i="16"/>
  <c r="Y21" i="16"/>
  <c r="W47" i="16"/>
  <c r="AA21" i="16"/>
  <c r="Y47" i="16"/>
  <c r="AC21" i="16"/>
  <c r="AA47" i="16"/>
  <c r="AE21" i="16"/>
  <c r="AC47" i="16"/>
  <c r="AG21" i="16"/>
  <c r="AE47" i="16"/>
  <c r="AI21" i="16"/>
  <c r="AG47" i="16"/>
  <c r="AK21" i="16"/>
  <c r="AI47" i="16"/>
  <c r="AM21" i="16"/>
  <c r="AK47" i="16"/>
  <c r="AO21" i="16"/>
  <c r="AM47" i="16"/>
  <c r="AP17" i="16"/>
  <c r="AN43" i="16"/>
  <c r="AL17" i="16"/>
  <c r="AJ43" i="16"/>
  <c r="AF8" i="16"/>
  <c r="AF13" i="16"/>
  <c r="AD39" i="16"/>
  <c r="AN17" i="16"/>
  <c r="AL43" i="16"/>
  <c r="AQ17" i="16"/>
  <c r="AO43" i="16"/>
  <c r="AH17" i="16"/>
  <c r="AF43" i="16"/>
  <c r="Y17" i="16"/>
  <c r="W43" i="16"/>
  <c r="AA17" i="16"/>
  <c r="Y43" i="16"/>
  <c r="AC17" i="16"/>
  <c r="AA43" i="16"/>
  <c r="AE17" i="16"/>
  <c r="AC43" i="16"/>
  <c r="AG17" i="16"/>
  <c r="AE43" i="16"/>
  <c r="AI17" i="16"/>
  <c r="AG43" i="16"/>
  <c r="AK17" i="16"/>
  <c r="AI43" i="16"/>
  <c r="AM17" i="16"/>
  <c r="AK43" i="16"/>
  <c r="AO17" i="16"/>
  <c r="AM43" i="16"/>
  <c r="AP13" i="16"/>
  <c r="AN39" i="16"/>
  <c r="AL13" i="16"/>
  <c r="AJ39" i="16"/>
  <c r="AB19" i="16"/>
  <c r="Z45" i="16"/>
  <c r="AD13" i="16"/>
  <c r="AB39" i="16"/>
  <c r="AN13" i="16"/>
  <c r="AL39" i="16"/>
  <c r="Z13" i="16"/>
  <c r="X39" i="16"/>
  <c r="AB13" i="16"/>
  <c r="Z39" i="16"/>
  <c r="AQ13" i="16"/>
  <c r="AO39" i="16"/>
  <c r="AJ13" i="16"/>
  <c r="AH39" i="16"/>
  <c r="Y13" i="16"/>
  <c r="W39" i="16"/>
  <c r="AA13" i="16"/>
  <c r="Y39" i="16"/>
  <c r="AC13" i="16"/>
  <c r="AA39" i="16"/>
  <c r="AE13" i="16"/>
  <c r="AC39" i="16"/>
  <c r="AG13" i="16"/>
  <c r="AE39" i="16"/>
  <c r="AI13" i="16"/>
  <c r="AG39" i="16"/>
  <c r="AK13" i="16"/>
  <c r="AI39" i="16"/>
  <c r="AM13" i="16"/>
  <c r="AK39" i="16"/>
  <c r="AO13" i="16"/>
  <c r="AM39" i="16"/>
  <c r="AR8" i="16"/>
  <c r="AD29" i="16"/>
  <c r="AB55" i="16"/>
  <c r="AL29" i="16"/>
  <c r="AJ55" i="16"/>
  <c r="AN29" i="16"/>
  <c r="AL55" i="16"/>
  <c r="AP29" i="16"/>
  <c r="AN55" i="16"/>
  <c r="AB29" i="16"/>
  <c r="Z55" i="16"/>
  <c r="AJ29" i="16"/>
  <c r="AH55" i="16"/>
  <c r="Y29" i="16"/>
  <c r="W55" i="16"/>
  <c r="AA29" i="16"/>
  <c r="Y55" i="16"/>
  <c r="AC29" i="16"/>
  <c r="AA55" i="16"/>
  <c r="AE29" i="16"/>
  <c r="AC55" i="16"/>
  <c r="AG29" i="16"/>
  <c r="AE55" i="16"/>
  <c r="AI29" i="16"/>
  <c r="AG55" i="16"/>
  <c r="AK29" i="16"/>
  <c r="AI55" i="16"/>
  <c r="AM29" i="16"/>
  <c r="AK55" i="16"/>
  <c r="AO29" i="16"/>
  <c r="AM55" i="16"/>
  <c r="AQ29" i="16"/>
  <c r="AO55" i="16"/>
  <c r="M28" i="3"/>
  <c r="M31" i="3"/>
  <c r="B36" i="3"/>
  <c r="K41" i="12" a="1"/>
  <c r="K41" i="12"/>
  <c r="Q23" i="12"/>
  <c r="M41" i="12" a="1"/>
  <c r="M41" i="12"/>
  <c r="B46" i="12"/>
  <c r="B48" i="12"/>
  <c r="F46" i="12"/>
  <c r="F48" i="12"/>
  <c r="O24" i="12"/>
  <c r="Q31" i="12"/>
  <c r="Q39" i="12"/>
  <c r="O31" i="12"/>
  <c r="M18" i="4"/>
  <c r="O18" i="4"/>
  <c r="M31" i="4"/>
  <c r="O31" i="4"/>
  <c r="T39" i="12"/>
  <c r="T39" i="15"/>
  <c r="T33" i="12"/>
  <c r="T26" i="12"/>
  <c r="G48" i="15"/>
  <c r="P64" i="3"/>
  <c r="O38" i="12"/>
  <c r="O28" i="12"/>
  <c r="Q35" i="12"/>
  <c r="S37" i="12"/>
  <c r="O27" i="12"/>
  <c r="O35" i="12"/>
  <c r="N16" i="4"/>
  <c r="P16" i="4"/>
  <c r="N17" i="4"/>
  <c r="P17" i="4"/>
  <c r="M13" i="4"/>
  <c r="O13" i="4"/>
  <c r="M14" i="4"/>
  <c r="O14" i="4"/>
  <c r="M15" i="4"/>
  <c r="O15" i="4"/>
  <c r="E46" i="12"/>
  <c r="E48" i="12"/>
  <c r="F48" i="15"/>
  <c r="D48" i="15"/>
  <c r="P39" i="15"/>
  <c r="T35" i="12"/>
  <c r="T38" i="12"/>
  <c r="T37" i="12"/>
  <c r="T28" i="12"/>
  <c r="P48" i="3"/>
  <c r="G29" i="3"/>
  <c r="G31" i="3"/>
  <c r="P31" i="3"/>
  <c r="B37" i="3"/>
  <c r="B20" i="4"/>
  <c r="K20" i="4"/>
  <c r="A21" i="4"/>
  <c r="G20" i="4"/>
  <c r="I20" i="4"/>
  <c r="H19" i="4"/>
  <c r="L19" i="4"/>
  <c r="I19" i="4"/>
  <c r="J19" i="4"/>
  <c r="N19" i="4"/>
  <c r="P19" i="4"/>
  <c r="AB17" i="16"/>
  <c r="Z43" i="16"/>
  <c r="AD17" i="16"/>
  <c r="AB43" i="16"/>
  <c r="AD21" i="16"/>
  <c r="AB47" i="16"/>
  <c r="F49" i="15"/>
  <c r="F50" i="15"/>
  <c r="C49" i="15"/>
  <c r="C50" i="15"/>
  <c r="AQ24" i="16"/>
  <c r="AO50" i="16"/>
  <c r="G18" i="14"/>
  <c r="AQ28" i="16"/>
  <c r="AO54" i="16"/>
  <c r="P40" i="9"/>
  <c r="T41" i="9"/>
  <c r="P31" i="9"/>
  <c r="P38" i="9"/>
  <c r="P39" i="9"/>
  <c r="P37" i="9"/>
  <c r="P26" i="9"/>
  <c r="P29" i="9"/>
  <c r="P30" i="9"/>
  <c r="P27" i="9"/>
  <c r="P41" i="9"/>
  <c r="P25" i="9"/>
  <c r="P28" i="9"/>
  <c r="P24" i="9"/>
  <c r="P35" i="9"/>
  <c r="P34" i="9"/>
  <c r="P33" i="9"/>
  <c r="A20" i="14"/>
  <c r="B19" i="14"/>
  <c r="C19" i="14"/>
  <c r="E19" i="14"/>
  <c r="AQ22" i="16"/>
  <c r="AO48" i="16"/>
  <c r="AQ18" i="16"/>
  <c r="AO44" i="16"/>
  <c r="AQ14" i="16"/>
  <c r="AO40" i="16"/>
  <c r="AQ10" i="16"/>
  <c r="AO36" i="16"/>
  <c r="AQ26" i="16"/>
  <c r="AO52" i="16"/>
  <c r="AQ20" i="16"/>
  <c r="AO46" i="16"/>
  <c r="AQ16" i="16"/>
  <c r="AO42" i="16"/>
  <c r="AQ12" i="16"/>
  <c r="AO38" i="16"/>
  <c r="T25" i="9"/>
  <c r="T34" i="9"/>
  <c r="T39" i="9"/>
  <c r="T38" i="9"/>
  <c r="T33" i="9"/>
  <c r="T27" i="9"/>
  <c r="T28" i="9"/>
  <c r="T37" i="9"/>
  <c r="T29" i="9"/>
  <c r="T30" i="9"/>
  <c r="T32" i="9"/>
  <c r="T31" i="9"/>
  <c r="T40" i="9"/>
  <c r="T35" i="9"/>
  <c r="T26" i="9"/>
  <c r="T36" i="9"/>
  <c r="AP28" i="16"/>
  <c r="AN54" i="16"/>
  <c r="AP14" i="16"/>
  <c r="AN40" i="16"/>
  <c r="AP22" i="16"/>
  <c r="AN48" i="16"/>
  <c r="AP12" i="16"/>
  <c r="AN38" i="16"/>
  <c r="AP20" i="16"/>
  <c r="AN46" i="16"/>
  <c r="AP23" i="16"/>
  <c r="AN49" i="16"/>
  <c r="AP10" i="16"/>
  <c r="AN36" i="16"/>
  <c r="AP18" i="16"/>
  <c r="AN44" i="16"/>
  <c r="AP16" i="16"/>
  <c r="AN42" i="16"/>
  <c r="AP26" i="16"/>
  <c r="AN52" i="16"/>
  <c r="AP27" i="16"/>
  <c r="AN53" i="16"/>
  <c r="P36" i="9"/>
  <c r="J41" i="12" a="1"/>
  <c r="J41" i="12"/>
  <c r="AL28" i="16"/>
  <c r="AJ54" i="16"/>
  <c r="AL26" i="16"/>
  <c r="AJ52" i="16"/>
  <c r="AL22" i="16"/>
  <c r="AJ48" i="16"/>
  <c r="AL20" i="16"/>
  <c r="AJ46" i="16"/>
  <c r="AL18" i="16"/>
  <c r="AJ44" i="16"/>
  <c r="AL16" i="16"/>
  <c r="AJ42" i="16"/>
  <c r="AL14" i="16"/>
  <c r="AJ40" i="16"/>
  <c r="AL12" i="16"/>
  <c r="AJ38" i="16"/>
  <c r="AL23" i="16"/>
  <c r="AJ49" i="16"/>
  <c r="AL27" i="16"/>
  <c r="AJ53" i="16"/>
  <c r="AL10" i="16"/>
  <c r="AJ36" i="16"/>
  <c r="AM22" i="16"/>
  <c r="AK48" i="16"/>
  <c r="AM18" i="16"/>
  <c r="AK44" i="16"/>
  <c r="AM14" i="16"/>
  <c r="AK40" i="16"/>
  <c r="AM10" i="16"/>
  <c r="AK36" i="16"/>
  <c r="AM26" i="16"/>
  <c r="AK52" i="16"/>
  <c r="AM28" i="16"/>
  <c r="AK54" i="16"/>
  <c r="AM27" i="16"/>
  <c r="AK53" i="16"/>
  <c r="AM20" i="16"/>
  <c r="AK46" i="16"/>
  <c r="AM16" i="16"/>
  <c r="AK42" i="16"/>
  <c r="AM12" i="16"/>
  <c r="AK38" i="16"/>
  <c r="G49" i="15"/>
  <c r="G50" i="15"/>
  <c r="T24" i="12"/>
  <c r="O39" i="12"/>
  <c r="O36" i="12"/>
  <c r="AJ17" i="16"/>
  <c r="AH43" i="16"/>
  <c r="AJ21" i="16"/>
  <c r="AH47" i="16"/>
  <c r="E49" i="15"/>
  <c r="E50" i="15"/>
  <c r="D49" i="15"/>
  <c r="D50" i="15"/>
  <c r="L41" i="12" a="1"/>
  <c r="L41" i="12"/>
  <c r="R23" i="12"/>
  <c r="R27" i="12"/>
  <c r="AL24" i="16"/>
  <c r="AJ50" i="16"/>
  <c r="AM24" i="16"/>
  <c r="AK50" i="16"/>
  <c r="S31" i="12"/>
  <c r="S27" i="12"/>
  <c r="S26" i="12"/>
  <c r="S34" i="12"/>
  <c r="S40" i="12"/>
  <c r="S24" i="12"/>
  <c r="S28" i="12"/>
  <c r="S35" i="12"/>
  <c r="S25" i="12"/>
  <c r="S30" i="12"/>
  <c r="S32" i="12"/>
  <c r="S23" i="12"/>
  <c r="S39" i="12"/>
  <c r="S38" i="12"/>
  <c r="S36" i="12"/>
  <c r="AR28" i="16"/>
  <c r="AP54" i="16"/>
  <c r="AR27" i="16"/>
  <c r="AP53" i="16"/>
  <c r="AR26" i="16"/>
  <c r="AP52" i="16"/>
  <c r="AR24" i="16"/>
  <c r="AP50" i="16"/>
  <c r="AR23" i="16"/>
  <c r="AP49" i="16"/>
  <c r="AR22" i="16"/>
  <c r="AP48" i="16"/>
  <c r="AR20" i="16"/>
  <c r="AP46" i="16"/>
  <c r="AR18" i="16"/>
  <c r="AP44" i="16"/>
  <c r="AR16" i="16"/>
  <c r="AP42" i="16"/>
  <c r="AR14" i="16"/>
  <c r="AP40" i="16"/>
  <c r="AR12" i="16"/>
  <c r="AP38" i="16"/>
  <c r="AR10" i="16"/>
  <c r="AP36" i="16"/>
  <c r="AF28" i="16"/>
  <c r="AD54" i="16"/>
  <c r="AF27" i="16"/>
  <c r="AD53" i="16"/>
  <c r="AF26" i="16"/>
  <c r="AD52" i="16"/>
  <c r="AF24" i="16"/>
  <c r="AD50" i="16"/>
  <c r="AF23" i="16"/>
  <c r="AD49" i="16"/>
  <c r="AF22" i="16"/>
  <c r="AD48" i="16"/>
  <c r="AF20" i="16"/>
  <c r="AD46" i="16"/>
  <c r="AF18" i="16"/>
  <c r="AD44" i="16"/>
  <c r="AF16" i="16"/>
  <c r="AD42" i="16"/>
  <c r="AF14" i="16"/>
  <c r="AD40" i="16"/>
  <c r="AF12" i="16"/>
  <c r="AD38" i="16"/>
  <c r="AF10" i="16"/>
  <c r="AD36" i="16"/>
  <c r="Z27" i="16"/>
  <c r="X53" i="16"/>
  <c r="Z23" i="16"/>
  <c r="X49" i="16"/>
  <c r="Z28" i="16"/>
  <c r="X54" i="16"/>
  <c r="Z26" i="16"/>
  <c r="X52" i="16"/>
  <c r="Z24" i="16"/>
  <c r="X50" i="16"/>
  <c r="Z22" i="16"/>
  <c r="X48" i="16"/>
  <c r="Z20" i="16"/>
  <c r="X46" i="16"/>
  <c r="Z18" i="16"/>
  <c r="X44" i="16"/>
  <c r="Z16" i="16"/>
  <c r="X42" i="16"/>
  <c r="Z14" i="16"/>
  <c r="X40" i="16"/>
  <c r="Z12" i="16"/>
  <c r="X38" i="16"/>
  <c r="Z10" i="16"/>
  <c r="X36" i="16"/>
  <c r="AH28" i="16"/>
  <c r="AF54" i="16"/>
  <c r="AH26" i="16"/>
  <c r="AF52" i="16"/>
  <c r="AH24" i="16"/>
  <c r="AF50" i="16"/>
  <c r="AH22" i="16"/>
  <c r="AF48" i="16"/>
  <c r="AH20" i="16"/>
  <c r="AF46" i="16"/>
  <c r="AH18" i="16"/>
  <c r="AF44" i="16"/>
  <c r="AH16" i="16"/>
  <c r="AF42" i="16"/>
  <c r="AH14" i="16"/>
  <c r="AF40" i="16"/>
  <c r="AH12" i="16"/>
  <c r="AF38" i="16"/>
  <c r="AH10" i="16"/>
  <c r="AF36" i="16"/>
  <c r="AH27" i="16"/>
  <c r="AF53" i="16"/>
  <c r="AH23" i="16"/>
  <c r="AF49" i="16"/>
  <c r="Q27" i="12"/>
  <c r="Q26" i="12"/>
  <c r="Q34" i="12"/>
  <c r="Q25" i="12"/>
  <c r="Q28" i="12"/>
  <c r="Q30" i="12"/>
  <c r="Q33" i="12"/>
  <c r="Q32" i="12"/>
  <c r="Q37" i="12"/>
  <c r="Q40" i="12"/>
  <c r="Q36" i="12"/>
  <c r="Q38" i="12"/>
  <c r="Q29" i="12"/>
  <c r="Q24" i="12"/>
  <c r="AB27" i="16"/>
  <c r="Z53" i="16"/>
  <c r="AB23" i="16"/>
  <c r="Z49" i="16"/>
  <c r="AB28" i="16"/>
  <c r="Z54" i="16"/>
  <c r="AB26" i="16"/>
  <c r="Z52" i="16"/>
  <c r="AB24" i="16"/>
  <c r="Z50" i="16"/>
  <c r="AB22" i="16"/>
  <c r="Z48" i="16"/>
  <c r="AB20" i="16"/>
  <c r="Z46" i="16"/>
  <c r="AB18" i="16"/>
  <c r="Z44" i="16"/>
  <c r="AB16" i="16"/>
  <c r="Z42" i="16"/>
  <c r="AB14" i="16"/>
  <c r="Z40" i="16"/>
  <c r="AB12" i="16"/>
  <c r="Z38" i="16"/>
  <c r="AB10" i="16"/>
  <c r="Z36" i="16"/>
  <c r="AJ28" i="16"/>
  <c r="AH54" i="16"/>
  <c r="AJ26" i="16"/>
  <c r="AH52" i="16"/>
  <c r="AJ24" i="16"/>
  <c r="AH50" i="16"/>
  <c r="AJ22" i="16"/>
  <c r="AH48" i="16"/>
  <c r="AJ20" i="16"/>
  <c r="AH46" i="16"/>
  <c r="AJ18" i="16"/>
  <c r="AH44" i="16"/>
  <c r="AJ16" i="16"/>
  <c r="AH42" i="16"/>
  <c r="AJ14" i="16"/>
  <c r="AH40" i="16"/>
  <c r="AJ12" i="16"/>
  <c r="AH38" i="16"/>
  <c r="AJ10" i="16"/>
  <c r="AH36" i="16"/>
  <c r="AJ27" i="16"/>
  <c r="AH53" i="16"/>
  <c r="AJ23" i="16"/>
  <c r="AH49" i="16"/>
  <c r="T30" i="12"/>
  <c r="T34" i="12"/>
  <c r="T27" i="12"/>
  <c r="T31" i="12"/>
  <c r="T36" i="12"/>
  <c r="T40" i="12"/>
  <c r="T29" i="12"/>
  <c r="T25" i="12"/>
  <c r="T32" i="12"/>
  <c r="O30" i="12"/>
  <c r="O32" i="12"/>
  <c r="O26" i="12"/>
  <c r="O37" i="12"/>
  <c r="O33" i="12"/>
  <c r="O34" i="12"/>
  <c r="O40" i="12"/>
  <c r="O29" i="12"/>
  <c r="O25" i="12"/>
  <c r="AD28" i="16"/>
  <c r="AB54" i="16"/>
  <c r="AD27" i="16"/>
  <c r="AB53" i="16"/>
  <c r="AD26" i="16"/>
  <c r="AB52" i="16"/>
  <c r="AD24" i="16"/>
  <c r="AB50" i="16"/>
  <c r="AD23" i="16"/>
  <c r="AB49" i="16"/>
  <c r="AD22" i="16"/>
  <c r="AB48" i="16"/>
  <c r="AD20" i="16"/>
  <c r="AB46" i="16"/>
  <c r="AD18" i="16"/>
  <c r="AB44" i="16"/>
  <c r="AD16" i="16"/>
  <c r="AB42" i="16"/>
  <c r="AD14" i="16"/>
  <c r="AB40" i="16"/>
  <c r="AD12" i="16"/>
  <c r="AB38" i="16"/>
  <c r="AD10" i="16"/>
  <c r="AB36" i="16"/>
  <c r="AN28" i="16"/>
  <c r="AL54" i="16"/>
  <c r="AN26" i="16"/>
  <c r="AL52" i="16"/>
  <c r="AN24" i="16"/>
  <c r="AL50" i="16"/>
  <c r="AN22" i="16"/>
  <c r="AL48" i="16"/>
  <c r="AN20" i="16"/>
  <c r="AL46" i="16"/>
  <c r="AN18" i="16"/>
  <c r="AL44" i="16"/>
  <c r="AN16" i="16"/>
  <c r="AL42" i="16"/>
  <c r="AN14" i="16"/>
  <c r="AL40" i="16"/>
  <c r="AN12" i="16"/>
  <c r="AL38" i="16"/>
  <c r="AN27" i="16"/>
  <c r="AL53" i="16"/>
  <c r="AN23" i="16"/>
  <c r="AL49" i="16"/>
  <c r="AN10" i="16"/>
  <c r="AL36" i="16"/>
  <c r="AR13" i="16"/>
  <c r="AP39" i="16"/>
  <c r="AF21" i="16"/>
  <c r="AD47" i="16"/>
  <c r="AR21" i="16"/>
  <c r="AP47" i="16"/>
  <c r="AF11" i="16"/>
  <c r="AD37" i="16"/>
  <c r="AR11" i="16"/>
  <c r="AP37" i="16"/>
  <c r="Z15" i="16"/>
  <c r="X41" i="16"/>
  <c r="AF19" i="16"/>
  <c r="AD45" i="16"/>
  <c r="AR19" i="16"/>
  <c r="AP45" i="16"/>
  <c r="AH25" i="16"/>
  <c r="AF51" i="16"/>
  <c r="Z25" i="16"/>
  <c r="X51" i="16"/>
  <c r="AF25" i="16"/>
  <c r="AD51" i="16"/>
  <c r="AR25" i="16"/>
  <c r="AP51" i="16"/>
  <c r="S33" i="12"/>
  <c r="S29" i="12"/>
  <c r="AH29" i="16"/>
  <c r="AF55" i="16"/>
  <c r="Z29" i="16"/>
  <c r="X55" i="16"/>
  <c r="AF29" i="16"/>
  <c r="AD55" i="16"/>
  <c r="AR29" i="16"/>
  <c r="AP55" i="16"/>
  <c r="AH13" i="16"/>
  <c r="AF39" i="16"/>
  <c r="Z17" i="16"/>
  <c r="X43" i="16"/>
  <c r="AF17" i="16"/>
  <c r="AD43" i="16"/>
  <c r="AR17" i="16"/>
  <c r="AP43" i="16"/>
  <c r="AH21" i="16"/>
  <c r="AF47" i="16"/>
  <c r="AB21" i="16"/>
  <c r="Z47" i="16"/>
  <c r="AJ11" i="16"/>
  <c r="AH37" i="16"/>
  <c r="Z11" i="16"/>
  <c r="X37" i="16"/>
  <c r="AH15" i="16"/>
  <c r="AF41" i="16"/>
  <c r="AB15" i="16"/>
  <c r="Z41" i="16"/>
  <c r="AF15" i="16"/>
  <c r="AD41" i="16"/>
  <c r="AR15" i="16"/>
  <c r="AP41" i="16"/>
  <c r="AJ19" i="16"/>
  <c r="AH45" i="16"/>
  <c r="Z19" i="16"/>
  <c r="X45" i="16"/>
  <c r="AD19" i="16"/>
  <c r="AB45" i="16"/>
  <c r="AJ25" i="16"/>
  <c r="AH51" i="16"/>
  <c r="AB25" i="16"/>
  <c r="Z51" i="16"/>
  <c r="AD25" i="16"/>
  <c r="AB51" i="16"/>
  <c r="R36" i="12"/>
  <c r="R34" i="12"/>
  <c r="D19" i="14"/>
  <c r="F19" i="14"/>
  <c r="M19" i="4"/>
  <c r="O19" i="4"/>
  <c r="P29" i="12"/>
  <c r="P34" i="12"/>
  <c r="P39" i="12"/>
  <c r="P37" i="12"/>
  <c r="P40" i="12"/>
  <c r="P24" i="12"/>
  <c r="P38" i="12"/>
  <c r="P27" i="12"/>
  <c r="P28" i="12"/>
  <c r="P23" i="12"/>
  <c r="P31" i="12"/>
  <c r="P26" i="12"/>
  <c r="P30" i="12"/>
  <c r="P35" i="12"/>
  <c r="P32" i="12"/>
  <c r="P33" i="12"/>
  <c r="P25" i="12"/>
  <c r="P36" i="12"/>
  <c r="A21" i="14"/>
  <c r="B20" i="14"/>
  <c r="C20" i="14"/>
  <c r="E20" i="14"/>
  <c r="L20" i="4"/>
  <c r="J20" i="4"/>
  <c r="M20" i="4"/>
  <c r="O20" i="4"/>
  <c r="H20" i="4"/>
  <c r="N20" i="4"/>
  <c r="P20" i="4"/>
  <c r="B21" i="4"/>
  <c r="A22" i="4"/>
  <c r="G19" i="14"/>
  <c r="U24" i="9" a="1"/>
  <c r="V23" i="15" a="1"/>
  <c r="X42" i="15"/>
  <c r="R28" i="12"/>
  <c r="R29" i="12"/>
  <c r="R26" i="12"/>
  <c r="R25" i="12"/>
  <c r="R35" i="12"/>
  <c r="R24" i="12"/>
  <c r="R40" i="12"/>
  <c r="R39" i="12"/>
  <c r="R38" i="12"/>
  <c r="R31" i="12"/>
  <c r="R32" i="12"/>
  <c r="R37" i="12"/>
  <c r="R30" i="12"/>
  <c r="R33" i="12"/>
  <c r="V41" i="9"/>
  <c r="AB41" i="9"/>
  <c r="Z39" i="9"/>
  <c r="AF39" i="9"/>
  <c r="X38" i="9"/>
  <c r="AD38" i="9"/>
  <c r="V37" i="9"/>
  <c r="AB37" i="9"/>
  <c r="Z35" i="9"/>
  <c r="AF35" i="9"/>
  <c r="X34" i="9"/>
  <c r="AD34" i="9"/>
  <c r="V33" i="9"/>
  <c r="AB33" i="9"/>
  <c r="Z31" i="9"/>
  <c r="AF31" i="9"/>
  <c r="X30" i="9"/>
  <c r="AD30" i="9"/>
  <c r="V29" i="9"/>
  <c r="AB29" i="9"/>
  <c r="Z27" i="9"/>
  <c r="AF27" i="9"/>
  <c r="X26" i="9"/>
  <c r="AD26" i="9"/>
  <c r="V25" i="9"/>
  <c r="AB25" i="9"/>
  <c r="Y41" i="9"/>
  <c r="AE41" i="9"/>
  <c r="U39" i="9"/>
  <c r="AA39" i="9"/>
  <c r="W36" i="9"/>
  <c r="AC36" i="9"/>
  <c r="Y33" i="9"/>
  <c r="AE33" i="9"/>
  <c r="U31" i="9"/>
  <c r="AA31" i="9"/>
  <c r="W28" i="9"/>
  <c r="AC28" i="9"/>
  <c r="Y25" i="9"/>
  <c r="AE25" i="9"/>
  <c r="Y40" i="9"/>
  <c r="AE40" i="9"/>
  <c r="U38" i="9"/>
  <c r="AA38" i="9"/>
  <c r="W35" i="9"/>
  <c r="AC35" i="9"/>
  <c r="Y32" i="9"/>
  <c r="AE32" i="9"/>
  <c r="U30" i="9"/>
  <c r="AA30" i="9"/>
  <c r="W27" i="9"/>
  <c r="AC27" i="9"/>
  <c r="Y24" i="9"/>
  <c r="AE24" i="9"/>
  <c r="Z40" i="9"/>
  <c r="AF40" i="9"/>
  <c r="X39" i="9"/>
  <c r="AD39" i="9"/>
  <c r="V38" i="9"/>
  <c r="AB38" i="9"/>
  <c r="Z36" i="9"/>
  <c r="AF36" i="9"/>
  <c r="X35" i="9"/>
  <c r="AD35" i="9"/>
  <c r="V34" i="9"/>
  <c r="AB34" i="9"/>
  <c r="Z32" i="9"/>
  <c r="AF32" i="9"/>
  <c r="X31" i="9"/>
  <c r="AD31" i="9"/>
  <c r="V30" i="9"/>
  <c r="AB30" i="9"/>
  <c r="Z28" i="9"/>
  <c r="AF28" i="9"/>
  <c r="X27" i="9"/>
  <c r="AD27" i="9"/>
  <c r="V26" i="9"/>
  <c r="AB26" i="9"/>
  <c r="Z24" i="9"/>
  <c r="AF24" i="9"/>
  <c r="U41" i="9"/>
  <c r="AA41" i="9"/>
  <c r="W38" i="9"/>
  <c r="AC38" i="9"/>
  <c r="Y35" i="9"/>
  <c r="AE35" i="9"/>
  <c r="U33" i="9"/>
  <c r="AA33" i="9"/>
  <c r="W30" i="9"/>
  <c r="AC30" i="9"/>
  <c r="Y27" i="9"/>
  <c r="AE27" i="9"/>
  <c r="U25" i="9"/>
  <c r="AA25" i="9"/>
  <c r="U40" i="9"/>
  <c r="AA40" i="9"/>
  <c r="W37" i="9"/>
  <c r="AC37" i="9"/>
  <c r="Y34" i="9"/>
  <c r="AE34" i="9"/>
  <c r="U32" i="9"/>
  <c r="AA32" i="9"/>
  <c r="W29" i="9"/>
  <c r="AC29" i="9"/>
  <c r="Y26" i="9"/>
  <c r="AE26" i="9"/>
  <c r="U24" i="9"/>
  <c r="AA24" i="9"/>
  <c r="Z41" i="9"/>
  <c r="AF41" i="9"/>
  <c r="X40" i="9"/>
  <c r="AD40" i="9"/>
  <c r="V39" i="9"/>
  <c r="AB39" i="9"/>
  <c r="Z37" i="9"/>
  <c r="AF37" i="9"/>
  <c r="X36" i="9"/>
  <c r="AD36" i="9"/>
  <c r="V35" i="9"/>
  <c r="AB35" i="9"/>
  <c r="Z33" i="9"/>
  <c r="AF33" i="9"/>
  <c r="X32" i="9"/>
  <c r="AD32" i="9"/>
  <c r="V31" i="9"/>
  <c r="AB31" i="9"/>
  <c r="Z29" i="9"/>
  <c r="AF29" i="9"/>
  <c r="X28" i="9"/>
  <c r="AD28" i="9"/>
  <c r="V27" i="9"/>
  <c r="AB27" i="9"/>
  <c r="Z25" i="9"/>
  <c r="AF25" i="9"/>
  <c r="X24" i="9"/>
  <c r="AD24" i="9"/>
  <c r="W40" i="9"/>
  <c r="AC40" i="9"/>
  <c r="Y37" i="9"/>
  <c r="AE37" i="9"/>
  <c r="U35" i="9"/>
  <c r="AA35" i="9"/>
  <c r="W32" i="9"/>
  <c r="AC32" i="9"/>
  <c r="Y29" i="9"/>
  <c r="AE29" i="9"/>
  <c r="U27" i="9"/>
  <c r="AA27" i="9"/>
  <c r="W24" i="9"/>
  <c r="AC24" i="9"/>
  <c r="W39" i="9"/>
  <c r="AC39" i="9"/>
  <c r="Y36" i="9"/>
  <c r="AE36" i="9"/>
  <c r="U34" i="9"/>
  <c r="AA34" i="9"/>
  <c r="W31" i="9"/>
  <c r="AC31" i="9"/>
  <c r="Y28" i="9"/>
  <c r="AE28" i="9"/>
  <c r="U26" i="9"/>
  <c r="AA26" i="9"/>
  <c r="X41" i="9"/>
  <c r="AD41" i="9"/>
  <c r="V40" i="9"/>
  <c r="AB40" i="9"/>
  <c r="Z38" i="9"/>
  <c r="AF38" i="9"/>
  <c r="X37" i="9"/>
  <c r="AD37" i="9"/>
  <c r="V36" i="9"/>
  <c r="AB36" i="9"/>
  <c r="Z34" i="9"/>
  <c r="AF34" i="9"/>
  <c r="X33" i="9"/>
  <c r="AD33" i="9"/>
  <c r="V32" i="9"/>
  <c r="AB32" i="9"/>
  <c r="Z30" i="9"/>
  <c r="AF30" i="9"/>
  <c r="X29" i="9"/>
  <c r="AD29" i="9"/>
  <c r="V28" i="9"/>
  <c r="AB28" i="9"/>
  <c r="Z26" i="9"/>
  <c r="AF26" i="9"/>
  <c r="X25" i="9"/>
  <c r="AD25" i="9"/>
  <c r="V24" i="9"/>
  <c r="AB24" i="9"/>
  <c r="Y39" i="9"/>
  <c r="AE39" i="9"/>
  <c r="U37" i="9"/>
  <c r="AA37" i="9"/>
  <c r="W34" i="9"/>
  <c r="AC34" i="9"/>
  <c r="Y31" i="9"/>
  <c r="AE31" i="9"/>
  <c r="U29" i="9"/>
  <c r="AA29" i="9"/>
  <c r="W26" i="9"/>
  <c r="AC26" i="9"/>
  <c r="W41" i="9"/>
  <c r="AC41" i="9"/>
  <c r="Y38" i="9"/>
  <c r="AE38" i="9"/>
  <c r="U36" i="9"/>
  <c r="AA36" i="9"/>
  <c r="W33" i="9"/>
  <c r="AC33" i="9"/>
  <c r="Y30" i="9"/>
  <c r="AE30" i="9"/>
  <c r="U28" i="9"/>
  <c r="AA28" i="9"/>
  <c r="W25" i="9"/>
  <c r="AC25" i="9"/>
  <c r="B22" i="4"/>
  <c r="A23" i="4"/>
  <c r="H21" i="4"/>
  <c r="L21" i="4"/>
  <c r="J21" i="4"/>
  <c r="A22" i="14"/>
  <c r="B21" i="14"/>
  <c r="C21" i="14"/>
  <c r="E21" i="14"/>
  <c r="D20" i="14"/>
  <c r="F20" i="14"/>
  <c r="G20" i="14"/>
  <c r="I21" i="4"/>
  <c r="K21" i="4"/>
  <c r="G21" i="4"/>
  <c r="M21" i="4"/>
  <c r="O21" i="4"/>
  <c r="AA24" i="15"/>
  <c r="W29" i="15"/>
  <c r="W33" i="15"/>
  <c r="W37" i="15"/>
  <c r="Y40" i="15"/>
  <c r="Y23" i="15"/>
  <c r="Y25" i="15"/>
  <c r="Y27" i="15"/>
  <c r="Y29" i="15"/>
  <c r="Y31" i="15"/>
  <c r="Y33" i="15"/>
  <c r="Y35" i="15"/>
  <c r="Y37" i="15"/>
  <c r="AA39" i="15"/>
  <c r="W42" i="15"/>
  <c r="X23" i="15"/>
  <c r="Z24" i="15"/>
  <c r="V26" i="15"/>
  <c r="X27" i="15"/>
  <c r="Z28" i="15"/>
  <c r="V30" i="15"/>
  <c r="X31" i="15"/>
  <c r="Z32" i="15"/>
  <c r="V34" i="15"/>
  <c r="X35" i="15"/>
  <c r="Z36" i="15"/>
  <c r="V38" i="15"/>
  <c r="X39" i="15"/>
  <c r="Z40" i="15"/>
  <c r="V42" i="15"/>
  <c r="AA23" i="15"/>
  <c r="W28" i="15"/>
  <c r="W32" i="15"/>
  <c r="AA35" i="15"/>
  <c r="Y39" i="15"/>
  <c r="W23" i="15"/>
  <c r="W25" i="15"/>
  <c r="AA26" i="15"/>
  <c r="AA28" i="15"/>
  <c r="AA30" i="15"/>
  <c r="AA32" i="15"/>
  <c r="W35" i="15"/>
  <c r="AA36" i="15"/>
  <c r="W39" i="15"/>
  <c r="W41" i="15"/>
  <c r="V23" i="15"/>
  <c r="X24" i="15"/>
  <c r="Z25" i="15"/>
  <c r="V27" i="15"/>
  <c r="X28" i="15"/>
  <c r="Z29" i="15"/>
  <c r="V31" i="15"/>
  <c r="X32" i="15"/>
  <c r="Z33" i="15"/>
  <c r="V35" i="15"/>
  <c r="X36" i="15"/>
  <c r="Z37" i="15"/>
  <c r="V39" i="15"/>
  <c r="X40" i="15"/>
  <c r="Z41" i="15"/>
  <c r="U23" i="12" a="1"/>
  <c r="W27" i="15"/>
  <c r="W31" i="15"/>
  <c r="AC31" i="15"/>
  <c r="AA34" i="15"/>
  <c r="AA38" i="15"/>
  <c r="AG38" i="15"/>
  <c r="AA41" i="15"/>
  <c r="Y24" i="15"/>
  <c r="AE24" i="15"/>
  <c r="Y26" i="15"/>
  <c r="Y28" i="15"/>
  <c r="AE28" i="15"/>
  <c r="Y30" i="15"/>
  <c r="Y32" i="15"/>
  <c r="AE32" i="15"/>
  <c r="Y34" i="15"/>
  <c r="Y36" i="15"/>
  <c r="AE36" i="15"/>
  <c r="Y38" i="15"/>
  <c r="AA40" i="15"/>
  <c r="AG40" i="15"/>
  <c r="AA42" i="15"/>
  <c r="V24" i="15"/>
  <c r="AB24" i="15"/>
  <c r="X25" i="15"/>
  <c r="Z26" i="15"/>
  <c r="AF26" i="15"/>
  <c r="V28" i="15"/>
  <c r="X29" i="15"/>
  <c r="AD29" i="15"/>
  <c r="Z30" i="15"/>
  <c r="V32" i="15"/>
  <c r="AB32" i="15"/>
  <c r="X33" i="15"/>
  <c r="Z34" i="15"/>
  <c r="AF34" i="15"/>
  <c r="V36" i="15"/>
  <c r="X37" i="15"/>
  <c r="AD37" i="15"/>
  <c r="Z38" i="15"/>
  <c r="V40" i="15"/>
  <c r="AB40" i="15"/>
  <c r="X41" i="15"/>
  <c r="Z42" i="15"/>
  <c r="AF42" i="15"/>
  <c r="AA25" i="15"/>
  <c r="W30" i="15"/>
  <c r="AC30" i="15"/>
  <c r="W34" i="15"/>
  <c r="AA37" i="15"/>
  <c r="AG37" i="15"/>
  <c r="Y41" i="15"/>
  <c r="W24" i="15"/>
  <c r="AC24" i="15"/>
  <c r="W26" i="15"/>
  <c r="AA27" i="15"/>
  <c r="AG27" i="15"/>
  <c r="AA29" i="15"/>
  <c r="AA31" i="15"/>
  <c r="AG31" i="15"/>
  <c r="AA33" i="15"/>
  <c r="W36" i="15"/>
  <c r="AC36" i="15"/>
  <c r="W38" i="15"/>
  <c r="W40" i="15"/>
  <c r="AC40" i="15"/>
  <c r="Y42" i="15"/>
  <c r="Z23" i="15"/>
  <c r="AF23" i="15"/>
  <c r="V25" i="15"/>
  <c r="X26" i="15"/>
  <c r="AD26" i="15"/>
  <c r="Z27" i="15"/>
  <c r="V29" i="15"/>
  <c r="AB29" i="15"/>
  <c r="X30" i="15"/>
  <c r="Z31" i="15"/>
  <c r="AF31" i="15"/>
  <c r="V33" i="15"/>
  <c r="X34" i="15"/>
  <c r="AD34" i="15"/>
  <c r="Z35" i="15"/>
  <c r="V37" i="15"/>
  <c r="AB37" i="15"/>
  <c r="X38" i="15"/>
  <c r="Z39" i="15"/>
  <c r="AF39" i="15"/>
  <c r="V41" i="15"/>
  <c r="AC27" i="15"/>
  <c r="AG34" i="15"/>
  <c r="AG41" i="15"/>
  <c r="AE26" i="15"/>
  <c r="AE30" i="15"/>
  <c r="AE34" i="15"/>
  <c r="AE38" i="15"/>
  <c r="AG42" i="15"/>
  <c r="AD25" i="15"/>
  <c r="AB28" i="15"/>
  <c r="AF30" i="15"/>
  <c r="AD33" i="15"/>
  <c r="AB36" i="15"/>
  <c r="AF38" i="15"/>
  <c r="AD41" i="15"/>
  <c r="AG25" i="15"/>
  <c r="AC34" i="15"/>
  <c r="AE41" i="15"/>
  <c r="AC26" i="15"/>
  <c r="AG29" i="15"/>
  <c r="AG33" i="15"/>
  <c r="AC38" i="15"/>
  <c r="AE42" i="15"/>
  <c r="AB25" i="15"/>
  <c r="AF27" i="15"/>
  <c r="AD30" i="15"/>
  <c r="AB33" i="15"/>
  <c r="AF35" i="15"/>
  <c r="AD38" i="15"/>
  <c r="AB41" i="15"/>
  <c r="AD42" i="15"/>
  <c r="AG24" i="15"/>
  <c r="AC29" i="15"/>
  <c r="AC33" i="15"/>
  <c r="AC37" i="15"/>
  <c r="AE40" i="15"/>
  <c r="AE23" i="15"/>
  <c r="AE25" i="15"/>
  <c r="AE27" i="15"/>
  <c r="AE29" i="15"/>
  <c r="AE31" i="15"/>
  <c r="AE33" i="15"/>
  <c r="AE35" i="15"/>
  <c r="AE37" i="15"/>
  <c r="AG39" i="15"/>
  <c r="AC42" i="15"/>
  <c r="AD23" i="15"/>
  <c r="AF24" i="15"/>
  <c r="AB26" i="15"/>
  <c r="AD27" i="15"/>
  <c r="AF28" i="15"/>
  <c r="AB30" i="15"/>
  <c r="AD31" i="15"/>
  <c r="AF32" i="15"/>
  <c r="AB34" i="15"/>
  <c r="AD35" i="15"/>
  <c r="AF36" i="15"/>
  <c r="AB38" i="15"/>
  <c r="AD39" i="15"/>
  <c r="AF40" i="15"/>
  <c r="AB42" i="15"/>
  <c r="AG23" i="15"/>
  <c r="AC28" i="15"/>
  <c r="AC32" i="15"/>
  <c r="AG35" i="15"/>
  <c r="AE39" i="15"/>
  <c r="AC23" i="15"/>
  <c r="AC25" i="15"/>
  <c r="AG26" i="15"/>
  <c r="AG28" i="15"/>
  <c r="AG30" i="15"/>
  <c r="AG32" i="15"/>
  <c r="AC35" i="15"/>
  <c r="AG36" i="15"/>
  <c r="AC39" i="15"/>
  <c r="AC41" i="15"/>
  <c r="AB23" i="15"/>
  <c r="AD24" i="15"/>
  <c r="AF25" i="15"/>
  <c r="AB27" i="15"/>
  <c r="AD28" i="15"/>
  <c r="AF29" i="15"/>
  <c r="AB31" i="15"/>
  <c r="AD32" i="15"/>
  <c r="AF33" i="15"/>
  <c r="AB35" i="15"/>
  <c r="AD36" i="15"/>
  <c r="AF37" i="15"/>
  <c r="AB39" i="15"/>
  <c r="AD40" i="15"/>
  <c r="AF41" i="15"/>
  <c r="AG24" i="9" a="1"/>
  <c r="A23" i="14"/>
  <c r="B22" i="14"/>
  <c r="C22" i="14"/>
  <c r="E22" i="14"/>
  <c r="B23" i="4"/>
  <c r="G23" i="4"/>
  <c r="A24" i="4"/>
  <c r="I23" i="4"/>
  <c r="L22" i="4"/>
  <c r="H22" i="4"/>
  <c r="J22" i="4"/>
  <c r="N21" i="4"/>
  <c r="P21" i="4"/>
  <c r="D21" i="14"/>
  <c r="F21" i="14"/>
  <c r="G21" i="14"/>
  <c r="I22" i="4"/>
  <c r="G22" i="4"/>
  <c r="K22" i="4"/>
  <c r="Y39" i="12"/>
  <c r="AE39" i="12"/>
  <c r="W38" i="12"/>
  <c r="AC38" i="12"/>
  <c r="U37" i="12"/>
  <c r="AA37" i="12"/>
  <c r="Y35" i="12"/>
  <c r="AE35" i="12"/>
  <c r="W34" i="12"/>
  <c r="AC34" i="12"/>
  <c r="U33" i="12"/>
  <c r="AA33" i="12"/>
  <c r="Y31" i="12"/>
  <c r="AE31" i="12"/>
  <c r="W30" i="12"/>
  <c r="AC30" i="12"/>
  <c r="U29" i="12"/>
  <c r="AA29" i="12"/>
  <c r="Y27" i="12"/>
  <c r="AE27" i="12"/>
  <c r="W26" i="12"/>
  <c r="AC26" i="12"/>
  <c r="U25" i="12"/>
  <c r="AA25" i="12"/>
  <c r="Y23" i="12"/>
  <c r="AE23" i="12"/>
  <c r="Z39" i="12"/>
  <c r="AF39" i="12"/>
  <c r="V37" i="12"/>
  <c r="AB37" i="12"/>
  <c r="X34" i="12"/>
  <c r="AD34" i="12"/>
  <c r="Z31" i="12"/>
  <c r="AF31" i="12"/>
  <c r="Z29" i="12"/>
  <c r="AF29" i="12"/>
  <c r="V27" i="12"/>
  <c r="AB27" i="12"/>
  <c r="X24" i="12"/>
  <c r="AD24" i="12"/>
  <c r="V40" i="12"/>
  <c r="AB40" i="12"/>
  <c r="X37" i="12"/>
  <c r="AD37" i="12"/>
  <c r="V34" i="12"/>
  <c r="AB34" i="12"/>
  <c r="Z30" i="12"/>
  <c r="AF30" i="12"/>
  <c r="X27" i="12"/>
  <c r="AD27" i="12"/>
  <c r="V24" i="12"/>
  <c r="AB24" i="12"/>
  <c r="V26" i="12"/>
  <c r="AB26" i="12"/>
  <c r="U40" i="12"/>
  <c r="AA40" i="12"/>
  <c r="Y38" i="12"/>
  <c r="AE38" i="12"/>
  <c r="W37" i="12"/>
  <c r="AC37" i="12"/>
  <c r="U36" i="12"/>
  <c r="AA36" i="12"/>
  <c r="Y34" i="12"/>
  <c r="AE34" i="12"/>
  <c r="W33" i="12"/>
  <c r="AC33" i="12"/>
  <c r="U32" i="12"/>
  <c r="AA32" i="12"/>
  <c r="Y30" i="12"/>
  <c r="AE30" i="12"/>
  <c r="W29" i="12"/>
  <c r="AC29" i="12"/>
  <c r="U28" i="12"/>
  <c r="AA28" i="12"/>
  <c r="Y26" i="12"/>
  <c r="AE26" i="12"/>
  <c r="W25" i="12"/>
  <c r="AC25" i="12"/>
  <c r="U24" i="12"/>
  <c r="AA24" i="12"/>
  <c r="X40" i="12"/>
  <c r="AD40" i="12"/>
  <c r="Z37" i="12"/>
  <c r="AF37" i="12"/>
  <c r="V35" i="12"/>
  <c r="AB35" i="12"/>
  <c r="X32" i="12"/>
  <c r="AD32" i="12"/>
  <c r="V29" i="12"/>
  <c r="AB29" i="12"/>
  <c r="X26" i="12"/>
  <c r="AD26" i="12"/>
  <c r="Z23" i="12"/>
  <c r="AF23" i="12"/>
  <c r="X39" i="12"/>
  <c r="AD39" i="12"/>
  <c r="V36" i="12"/>
  <c r="AB36" i="12"/>
  <c r="X33" i="12"/>
  <c r="AD33" i="12"/>
  <c r="V30" i="12"/>
  <c r="AB30" i="12"/>
  <c r="V28" i="12"/>
  <c r="AB28" i="12"/>
  <c r="Z24" i="12"/>
  <c r="AF24" i="12"/>
  <c r="V32" i="12"/>
  <c r="AB32" i="12"/>
  <c r="W40" i="12"/>
  <c r="AC40" i="12"/>
  <c r="U39" i="12"/>
  <c r="AA39" i="12"/>
  <c r="Y37" i="12"/>
  <c r="AE37" i="12"/>
  <c r="W36" i="12"/>
  <c r="AC36" i="12"/>
  <c r="U35" i="12"/>
  <c r="AA35" i="12"/>
  <c r="Y33" i="12"/>
  <c r="AE33" i="12"/>
  <c r="W32" i="12"/>
  <c r="AC32" i="12"/>
  <c r="U31" i="12"/>
  <c r="AA31" i="12"/>
  <c r="Y29" i="12"/>
  <c r="AE29" i="12"/>
  <c r="W28" i="12"/>
  <c r="AC28" i="12"/>
  <c r="U27" i="12"/>
  <c r="AA27" i="12"/>
  <c r="Y25" i="12"/>
  <c r="AE25" i="12"/>
  <c r="W24" i="12"/>
  <c r="AC24" i="12"/>
  <c r="U23" i="12"/>
  <c r="AA23" i="12"/>
  <c r="X38" i="12"/>
  <c r="AD38" i="12"/>
  <c r="Z35" i="12"/>
  <c r="AF35" i="12"/>
  <c r="V33" i="12"/>
  <c r="AB33" i="12"/>
  <c r="V31" i="12"/>
  <c r="AB31" i="12"/>
  <c r="X28" i="12"/>
  <c r="AD28" i="12"/>
  <c r="Z25" i="12"/>
  <c r="AF25" i="12"/>
  <c r="V23" i="12"/>
  <c r="AB23" i="12"/>
  <c r="W23" i="12"/>
  <c r="AC23" i="12"/>
  <c r="X23" i="12"/>
  <c r="AD23" i="12"/>
  <c r="Y24" i="12"/>
  <c r="AE24" i="12"/>
  <c r="V25" i="12"/>
  <c r="AB25" i="12"/>
  <c r="X25" i="12"/>
  <c r="AD25" i="12"/>
  <c r="U26" i="12"/>
  <c r="AA26" i="12"/>
  <c r="Z26" i="12"/>
  <c r="AF26" i="12"/>
  <c r="W27" i="12"/>
  <c r="AC27" i="12"/>
  <c r="Z27" i="12"/>
  <c r="AF27" i="12"/>
  <c r="Y28" i="12"/>
  <c r="AE28" i="12"/>
  <c r="Z28" i="12"/>
  <c r="AF28" i="12"/>
  <c r="X29" i="12"/>
  <c r="AD29" i="12"/>
  <c r="U30" i="12"/>
  <c r="AA30" i="12"/>
  <c r="X30" i="12"/>
  <c r="AD30" i="12"/>
  <c r="W31" i="12"/>
  <c r="AC31" i="12"/>
  <c r="X31" i="12"/>
  <c r="AD31" i="12"/>
  <c r="Y32" i="12"/>
  <c r="AE32" i="12"/>
  <c r="Z32" i="12"/>
  <c r="AF32" i="12"/>
  <c r="Z33" i="12"/>
  <c r="AF33" i="12"/>
  <c r="U34" i="12"/>
  <c r="AA34" i="12"/>
  <c r="Z34" i="12"/>
  <c r="AF34" i="12"/>
  <c r="W35" i="12"/>
  <c r="AC35" i="12"/>
  <c r="X35" i="12"/>
  <c r="AD35" i="12"/>
  <c r="X36" i="12"/>
  <c r="AD36" i="12"/>
  <c r="Y36" i="12"/>
  <c r="AE36" i="12"/>
  <c r="Z36" i="12"/>
  <c r="AF36" i="12"/>
  <c r="U38" i="12"/>
  <c r="AA38" i="12"/>
  <c r="V38" i="12"/>
  <c r="AB38" i="12"/>
  <c r="Z38" i="12"/>
  <c r="AF38" i="12"/>
  <c r="V39" i="12"/>
  <c r="AB39" i="12"/>
  <c r="W39" i="12"/>
  <c r="AC39" i="12"/>
  <c r="Y40" i="12"/>
  <c r="AE40" i="12"/>
  <c r="Z40" i="12"/>
  <c r="AF40" i="12"/>
  <c r="AG23" i="12" a="1"/>
  <c r="AH24" i="9"/>
  <c r="AN24" i="9"/>
  <c r="AJ24" i="9"/>
  <c r="AP24" i="9"/>
  <c r="AL24" i="9"/>
  <c r="AR24" i="9"/>
  <c r="AH25" i="9"/>
  <c r="AN25" i="9"/>
  <c r="AJ25" i="9"/>
  <c r="AP25" i="9"/>
  <c r="AL25" i="9"/>
  <c r="AR25" i="9"/>
  <c r="AH26" i="9"/>
  <c r="AN26" i="9"/>
  <c r="AJ26" i="9"/>
  <c r="AP26" i="9"/>
  <c r="AL26" i="9"/>
  <c r="AR26" i="9"/>
  <c r="AH27" i="9"/>
  <c r="AN27" i="9"/>
  <c r="AJ27" i="9"/>
  <c r="AP27" i="9"/>
  <c r="AL27" i="9"/>
  <c r="AR27" i="9"/>
  <c r="AH28" i="9"/>
  <c r="AN28" i="9"/>
  <c r="AJ28" i="9"/>
  <c r="AP28" i="9"/>
  <c r="AL28" i="9"/>
  <c r="AR28" i="9"/>
  <c r="AH29" i="9"/>
  <c r="AN29" i="9"/>
  <c r="AJ29" i="9"/>
  <c r="AP29" i="9"/>
  <c r="AL29" i="9"/>
  <c r="AR29" i="9"/>
  <c r="AH30" i="9"/>
  <c r="AN30" i="9"/>
  <c r="AJ30" i="9"/>
  <c r="AP30" i="9"/>
  <c r="AL30" i="9"/>
  <c r="AR30" i="9"/>
  <c r="AH31" i="9"/>
  <c r="AN31" i="9"/>
  <c r="AJ31" i="9"/>
  <c r="AP31" i="9"/>
  <c r="AL31" i="9"/>
  <c r="AR31" i="9"/>
  <c r="AH32" i="9"/>
  <c r="AN32" i="9"/>
  <c r="AJ32" i="9"/>
  <c r="AP32" i="9"/>
  <c r="AL32" i="9"/>
  <c r="AR32" i="9"/>
  <c r="AH33" i="9"/>
  <c r="AN33" i="9"/>
  <c r="AJ33" i="9"/>
  <c r="AP33" i="9"/>
  <c r="AL33" i="9"/>
  <c r="AR33" i="9"/>
  <c r="AH34" i="9"/>
  <c r="AN34" i="9"/>
  <c r="AJ34" i="9"/>
  <c r="AP34" i="9"/>
  <c r="AL34" i="9"/>
  <c r="AR34" i="9"/>
  <c r="AH35" i="9"/>
  <c r="AN35" i="9"/>
  <c r="AJ35" i="9"/>
  <c r="AP35" i="9"/>
  <c r="AL35" i="9"/>
  <c r="AR35" i="9"/>
  <c r="AH36" i="9"/>
  <c r="AN36" i="9"/>
  <c r="AJ36" i="9"/>
  <c r="AP36" i="9"/>
  <c r="AL36" i="9"/>
  <c r="AR36" i="9"/>
  <c r="AH37" i="9"/>
  <c r="AN37" i="9"/>
  <c r="AJ37" i="9"/>
  <c r="AP37" i="9"/>
  <c r="AL37" i="9"/>
  <c r="AR37" i="9"/>
  <c r="AH38" i="9"/>
  <c r="AN38" i="9"/>
  <c r="AJ38" i="9"/>
  <c r="AP38" i="9"/>
  <c r="AL38" i="9"/>
  <c r="AR38" i="9"/>
  <c r="AH39" i="9"/>
  <c r="AN39" i="9"/>
  <c r="AJ39" i="9"/>
  <c r="AP39" i="9"/>
  <c r="AL39" i="9"/>
  <c r="AR39" i="9"/>
  <c r="AH40" i="9"/>
  <c r="AN40" i="9"/>
  <c r="AJ40" i="9"/>
  <c r="AP40" i="9"/>
  <c r="AL40" i="9"/>
  <c r="AR40" i="9"/>
  <c r="AH41" i="9"/>
  <c r="AN41" i="9"/>
  <c r="AJ41" i="9"/>
  <c r="AP41" i="9"/>
  <c r="AL41" i="9"/>
  <c r="AR41" i="9"/>
  <c r="AG24" i="9"/>
  <c r="AM24" i="9"/>
  <c r="AK24" i="9"/>
  <c r="AQ24" i="9"/>
  <c r="AI25" i="9"/>
  <c r="AO25" i="9"/>
  <c r="AG26" i="9"/>
  <c r="AM26" i="9"/>
  <c r="AK26" i="9"/>
  <c r="AQ26" i="9"/>
  <c r="AI27" i="9"/>
  <c r="AO27" i="9"/>
  <c r="AG28" i="9"/>
  <c r="AM28" i="9"/>
  <c r="AK28" i="9"/>
  <c r="AQ28" i="9"/>
  <c r="AI29" i="9"/>
  <c r="AO29" i="9"/>
  <c r="AG30" i="9"/>
  <c r="AM30" i="9"/>
  <c r="AK30" i="9"/>
  <c r="AQ30" i="9"/>
  <c r="AI31" i="9"/>
  <c r="AO31" i="9"/>
  <c r="AG32" i="9"/>
  <c r="AM32" i="9"/>
  <c r="AK32" i="9"/>
  <c r="AQ32" i="9"/>
  <c r="AI33" i="9"/>
  <c r="AO33" i="9"/>
  <c r="AG34" i="9"/>
  <c r="AM34" i="9"/>
  <c r="AK34" i="9"/>
  <c r="AQ34" i="9"/>
  <c r="AI35" i="9"/>
  <c r="AO35" i="9"/>
  <c r="AG36" i="9"/>
  <c r="AM36" i="9"/>
  <c r="AK36" i="9"/>
  <c r="AQ36" i="9"/>
  <c r="AI37" i="9"/>
  <c r="AO37" i="9"/>
  <c r="AG38" i="9"/>
  <c r="AM38" i="9"/>
  <c r="AK38" i="9"/>
  <c r="AQ38" i="9"/>
  <c r="AI39" i="9"/>
  <c r="AO39" i="9"/>
  <c r="AG40" i="9"/>
  <c r="AM40" i="9"/>
  <c r="AK40" i="9"/>
  <c r="AQ40" i="9"/>
  <c r="AI41" i="9"/>
  <c r="AO41" i="9"/>
  <c r="AI24" i="9"/>
  <c r="AO24" i="9"/>
  <c r="AG25" i="9"/>
  <c r="AM25" i="9"/>
  <c r="AK25" i="9"/>
  <c r="AQ25" i="9"/>
  <c r="AI26" i="9"/>
  <c r="AO26" i="9"/>
  <c r="AG27" i="9"/>
  <c r="AM27" i="9"/>
  <c r="AK27" i="9"/>
  <c r="AQ27" i="9"/>
  <c r="AI28" i="9"/>
  <c r="AO28" i="9"/>
  <c r="AG29" i="9"/>
  <c r="AM29" i="9"/>
  <c r="AK29" i="9"/>
  <c r="AQ29" i="9"/>
  <c r="AI30" i="9"/>
  <c r="AO30" i="9"/>
  <c r="AG31" i="9"/>
  <c r="AM31" i="9"/>
  <c r="AK31" i="9"/>
  <c r="AQ31" i="9"/>
  <c r="AI32" i="9"/>
  <c r="AO32" i="9"/>
  <c r="AG33" i="9"/>
  <c r="AM33" i="9"/>
  <c r="AK33" i="9"/>
  <c r="AQ33" i="9"/>
  <c r="AI34" i="9"/>
  <c r="AO34" i="9"/>
  <c r="AG35" i="9"/>
  <c r="AM35" i="9"/>
  <c r="AK35" i="9"/>
  <c r="AQ35" i="9"/>
  <c r="AI36" i="9"/>
  <c r="AO36" i="9"/>
  <c r="AG37" i="9"/>
  <c r="AM37" i="9"/>
  <c r="AK37" i="9"/>
  <c r="AQ37" i="9"/>
  <c r="AI38" i="9"/>
  <c r="AO38" i="9"/>
  <c r="AG39" i="9"/>
  <c r="AM39" i="9"/>
  <c r="AK39" i="9"/>
  <c r="AQ39" i="9"/>
  <c r="AI40" i="9"/>
  <c r="AO40" i="9"/>
  <c r="AG41" i="9"/>
  <c r="AM41" i="9"/>
  <c r="AK41" i="9"/>
  <c r="AQ41" i="9"/>
  <c r="AH23" i="15" a="1"/>
  <c r="D22" i="14"/>
  <c r="F22" i="14"/>
  <c r="G22" i="14"/>
  <c r="C51" i="9" a="1"/>
  <c r="B51" i="9" a="1"/>
  <c r="B51" i="9"/>
  <c r="F51" i="9" a="1"/>
  <c r="E51" i="9" a="1"/>
  <c r="D51" i="9" a="1"/>
  <c r="B24" i="4"/>
  <c r="A25" i="4"/>
  <c r="I24" i="4"/>
  <c r="H23" i="4"/>
  <c r="L23" i="4"/>
  <c r="J23" i="4"/>
  <c r="B23" i="14"/>
  <c r="D23" i="14"/>
  <c r="F23" i="14"/>
  <c r="C23" i="14"/>
  <c r="E23" i="14"/>
  <c r="A24" i="14"/>
  <c r="B50" i="9" a="1"/>
  <c r="C50" i="9" a="1"/>
  <c r="D50" i="9" a="1"/>
  <c r="D50" i="9"/>
  <c r="F50" i="9" a="1"/>
  <c r="E50" i="9" a="1"/>
  <c r="E50" i="9"/>
  <c r="M22" i="4"/>
  <c r="O22" i="4"/>
  <c r="N22" i="4"/>
  <c r="P22" i="4"/>
  <c r="K23" i="4"/>
  <c r="AI23" i="15"/>
  <c r="AO23" i="15"/>
  <c r="AK23" i="15"/>
  <c r="AQ23" i="15"/>
  <c r="AM23" i="15"/>
  <c r="AS23" i="15"/>
  <c r="AI24" i="15"/>
  <c r="AO24" i="15"/>
  <c r="AK24" i="15"/>
  <c r="AQ24" i="15"/>
  <c r="AM24" i="15"/>
  <c r="AS24" i="15"/>
  <c r="AI25" i="15"/>
  <c r="AO25" i="15"/>
  <c r="AK25" i="15"/>
  <c r="AQ25" i="15"/>
  <c r="AM25" i="15"/>
  <c r="AS25" i="15"/>
  <c r="AI26" i="15"/>
  <c r="AO26" i="15"/>
  <c r="AK26" i="15"/>
  <c r="AQ26" i="15"/>
  <c r="AM26" i="15"/>
  <c r="AS26" i="15"/>
  <c r="AI27" i="15"/>
  <c r="AO27" i="15"/>
  <c r="AK27" i="15"/>
  <c r="AQ27" i="15"/>
  <c r="AM27" i="15"/>
  <c r="AS27" i="15"/>
  <c r="AI28" i="15"/>
  <c r="AO28" i="15"/>
  <c r="AK28" i="15"/>
  <c r="AQ28" i="15"/>
  <c r="AM28" i="15"/>
  <c r="AS28" i="15"/>
  <c r="AI29" i="15"/>
  <c r="AO29" i="15"/>
  <c r="AK29" i="15"/>
  <c r="AQ29" i="15"/>
  <c r="AM29" i="15"/>
  <c r="AS29" i="15"/>
  <c r="AI30" i="15"/>
  <c r="AO30" i="15"/>
  <c r="AK30" i="15"/>
  <c r="AQ30" i="15"/>
  <c r="AM30" i="15"/>
  <c r="AS30" i="15"/>
  <c r="AI31" i="15"/>
  <c r="AO31" i="15"/>
  <c r="AK31" i="15"/>
  <c r="AQ31" i="15"/>
  <c r="AM31" i="15"/>
  <c r="AS31" i="15"/>
  <c r="AI32" i="15"/>
  <c r="AO32" i="15"/>
  <c r="AK32" i="15"/>
  <c r="AQ32" i="15"/>
  <c r="AM32" i="15"/>
  <c r="AS32" i="15"/>
  <c r="AI33" i="15"/>
  <c r="AO33" i="15"/>
  <c r="AK33" i="15"/>
  <c r="AQ33" i="15"/>
  <c r="AM33" i="15"/>
  <c r="AS33" i="15"/>
  <c r="AI34" i="15"/>
  <c r="AO34" i="15"/>
  <c r="AK34" i="15"/>
  <c r="AQ34" i="15"/>
  <c r="AM34" i="15"/>
  <c r="AS34" i="15"/>
  <c r="AI35" i="15"/>
  <c r="AO35" i="15"/>
  <c r="AK35" i="15"/>
  <c r="AQ35" i="15"/>
  <c r="AM35" i="15"/>
  <c r="AS35" i="15"/>
  <c r="AI36" i="15"/>
  <c r="AO36" i="15"/>
  <c r="AK36" i="15"/>
  <c r="AQ36" i="15"/>
  <c r="AM36" i="15"/>
  <c r="AS36" i="15"/>
  <c r="AI37" i="15"/>
  <c r="AO37" i="15"/>
  <c r="AK37" i="15"/>
  <c r="AQ37" i="15"/>
  <c r="AM37" i="15"/>
  <c r="AS37" i="15"/>
  <c r="AI38" i="15"/>
  <c r="AO38" i="15"/>
  <c r="AK38" i="15"/>
  <c r="AQ38" i="15"/>
  <c r="AM38" i="15"/>
  <c r="AS38" i="15"/>
  <c r="AI39" i="15"/>
  <c r="AO39" i="15"/>
  <c r="AK39" i="15"/>
  <c r="AQ39" i="15"/>
  <c r="AM39" i="15"/>
  <c r="AS39" i="15"/>
  <c r="AI40" i="15"/>
  <c r="AO40" i="15"/>
  <c r="AK40" i="15"/>
  <c r="AQ40" i="15"/>
  <c r="AM40" i="15"/>
  <c r="AS40" i="15"/>
  <c r="AI41" i="15"/>
  <c r="AO41" i="15"/>
  <c r="AK41" i="15"/>
  <c r="AQ41" i="15"/>
  <c r="AM41" i="15"/>
  <c r="AS41" i="15"/>
  <c r="AI42" i="15"/>
  <c r="AO42" i="15"/>
  <c r="AK42" i="15"/>
  <c r="AQ42" i="15"/>
  <c r="AM42" i="15"/>
  <c r="AS42" i="15"/>
  <c r="AJ23" i="15"/>
  <c r="AP23" i="15"/>
  <c r="AH24" i="15"/>
  <c r="AN24" i="15"/>
  <c r="AL24" i="15"/>
  <c r="AR24" i="15"/>
  <c r="AJ25" i="15"/>
  <c r="AP25" i="15"/>
  <c r="AH26" i="15"/>
  <c r="AN26" i="15"/>
  <c r="AL26" i="15"/>
  <c r="AR26" i="15"/>
  <c r="AJ27" i="15"/>
  <c r="AP27" i="15"/>
  <c r="AH28" i="15"/>
  <c r="AN28" i="15"/>
  <c r="AL28" i="15"/>
  <c r="AR28" i="15"/>
  <c r="AJ29" i="15"/>
  <c r="AP29" i="15"/>
  <c r="AH30" i="15"/>
  <c r="AN30" i="15"/>
  <c r="AL30" i="15"/>
  <c r="AR30" i="15"/>
  <c r="AJ31" i="15"/>
  <c r="AP31" i="15"/>
  <c r="AH32" i="15"/>
  <c r="AN32" i="15"/>
  <c r="AL32" i="15"/>
  <c r="AR32" i="15"/>
  <c r="AJ33" i="15"/>
  <c r="AP33" i="15"/>
  <c r="AH34" i="15"/>
  <c r="AN34" i="15"/>
  <c r="AL34" i="15"/>
  <c r="AR34" i="15"/>
  <c r="AJ35" i="15"/>
  <c r="AP35" i="15"/>
  <c r="AH36" i="15"/>
  <c r="AN36" i="15"/>
  <c r="AL36" i="15"/>
  <c r="AR36" i="15"/>
  <c r="AJ37" i="15"/>
  <c r="AP37" i="15"/>
  <c r="AH38" i="15"/>
  <c r="AN38" i="15"/>
  <c r="AL38" i="15"/>
  <c r="AR38" i="15"/>
  <c r="AJ39" i="15"/>
  <c r="AP39" i="15"/>
  <c r="AH40" i="15"/>
  <c r="AN40" i="15"/>
  <c r="AL40" i="15"/>
  <c r="AR40" i="15"/>
  <c r="AJ41" i="15"/>
  <c r="AP41" i="15"/>
  <c r="AH42" i="15"/>
  <c r="AN42" i="15"/>
  <c r="AL42" i="15"/>
  <c r="AR42" i="15"/>
  <c r="AH23" i="15"/>
  <c r="AN23" i="15"/>
  <c r="AL23" i="15"/>
  <c r="AR23" i="15"/>
  <c r="AJ24" i="15"/>
  <c r="AP24" i="15"/>
  <c r="AH25" i="15"/>
  <c r="AN25" i="15"/>
  <c r="AL25" i="15"/>
  <c r="AR25" i="15"/>
  <c r="AJ26" i="15"/>
  <c r="AP26" i="15"/>
  <c r="AH27" i="15"/>
  <c r="AN27" i="15"/>
  <c r="AL27" i="15"/>
  <c r="AR27" i="15"/>
  <c r="AJ28" i="15"/>
  <c r="AP28" i="15"/>
  <c r="AH29" i="15"/>
  <c r="AN29" i="15"/>
  <c r="AL29" i="15"/>
  <c r="AR29" i="15"/>
  <c r="AJ30" i="15"/>
  <c r="AP30" i="15"/>
  <c r="AH31" i="15"/>
  <c r="AN31" i="15"/>
  <c r="AL31" i="15"/>
  <c r="AR31" i="15"/>
  <c r="AJ32" i="15"/>
  <c r="AP32" i="15"/>
  <c r="AH33" i="15"/>
  <c r="AN33" i="15"/>
  <c r="AL33" i="15"/>
  <c r="AR33" i="15"/>
  <c r="AJ34" i="15"/>
  <c r="AP34" i="15"/>
  <c r="AH35" i="15"/>
  <c r="AN35" i="15"/>
  <c r="AL35" i="15"/>
  <c r="AR35" i="15"/>
  <c r="AJ36" i="15"/>
  <c r="AP36" i="15"/>
  <c r="AH37" i="15"/>
  <c r="AN37" i="15"/>
  <c r="AL37" i="15"/>
  <c r="AR37" i="15"/>
  <c r="AJ38" i="15"/>
  <c r="AP38" i="15"/>
  <c r="AH39" i="15"/>
  <c r="AN39" i="15"/>
  <c r="AL39" i="15"/>
  <c r="AR39" i="15"/>
  <c r="AJ40" i="15"/>
  <c r="AP40" i="15"/>
  <c r="AH41" i="15"/>
  <c r="AN41" i="15"/>
  <c r="AL41" i="15"/>
  <c r="AR41" i="15"/>
  <c r="AJ42" i="15"/>
  <c r="AP42" i="15"/>
  <c r="F51" i="9"/>
  <c r="C51" i="9"/>
  <c r="E51" i="9"/>
  <c r="B50" i="9"/>
  <c r="C50" i="9"/>
  <c r="AH23" i="12"/>
  <c r="AN23" i="12"/>
  <c r="AJ23" i="12"/>
  <c r="AP23" i="12"/>
  <c r="AL23" i="12"/>
  <c r="AR23" i="12"/>
  <c r="AH24" i="12"/>
  <c r="AN24" i="12"/>
  <c r="AJ24" i="12"/>
  <c r="AP24" i="12"/>
  <c r="AL24" i="12"/>
  <c r="AR24" i="12"/>
  <c r="AH25" i="12"/>
  <c r="AN25" i="12"/>
  <c r="AJ25" i="12"/>
  <c r="AP25" i="12"/>
  <c r="AL25" i="12"/>
  <c r="AR25" i="12"/>
  <c r="AH26" i="12"/>
  <c r="AN26" i="12"/>
  <c r="AJ26" i="12"/>
  <c r="AP26" i="12"/>
  <c r="AL26" i="12"/>
  <c r="AR26" i="12"/>
  <c r="AH27" i="12"/>
  <c r="AN27" i="12"/>
  <c r="AJ27" i="12"/>
  <c r="AP27" i="12"/>
  <c r="AL27" i="12"/>
  <c r="AR27" i="12"/>
  <c r="AH28" i="12"/>
  <c r="AN28" i="12"/>
  <c r="AJ28" i="12"/>
  <c r="AP28" i="12"/>
  <c r="AL28" i="12"/>
  <c r="AR28" i="12"/>
  <c r="AH29" i="12"/>
  <c r="AN29" i="12"/>
  <c r="AJ29" i="12"/>
  <c r="AP29" i="12"/>
  <c r="AL29" i="12"/>
  <c r="AR29" i="12"/>
  <c r="AH30" i="12"/>
  <c r="AN30" i="12"/>
  <c r="AJ30" i="12"/>
  <c r="AP30" i="12"/>
  <c r="AL30" i="12"/>
  <c r="AR30" i="12"/>
  <c r="AH31" i="12"/>
  <c r="AN31" i="12"/>
  <c r="AJ31" i="12"/>
  <c r="AP31" i="12"/>
  <c r="AL31" i="12"/>
  <c r="AR31" i="12"/>
  <c r="AH32" i="12"/>
  <c r="AN32" i="12"/>
  <c r="AJ32" i="12"/>
  <c r="AP32" i="12"/>
  <c r="AL32" i="12"/>
  <c r="AR32" i="12"/>
  <c r="AH33" i="12"/>
  <c r="AN33" i="12"/>
  <c r="AJ33" i="12"/>
  <c r="AP33" i="12"/>
  <c r="AL33" i="12"/>
  <c r="AR33" i="12"/>
  <c r="AH34" i="12"/>
  <c r="AN34" i="12"/>
  <c r="AJ34" i="12"/>
  <c r="AP34" i="12"/>
  <c r="AL34" i="12"/>
  <c r="AR34" i="12"/>
  <c r="AH35" i="12"/>
  <c r="AN35" i="12"/>
  <c r="AJ35" i="12"/>
  <c r="AP35" i="12"/>
  <c r="AL35" i="12"/>
  <c r="AR35" i="12"/>
  <c r="AH36" i="12"/>
  <c r="AN36" i="12"/>
  <c r="AJ36" i="12"/>
  <c r="AP36" i="12"/>
  <c r="AL36" i="12"/>
  <c r="AR36" i="12"/>
  <c r="AH37" i="12"/>
  <c r="AN37" i="12"/>
  <c r="AJ37" i="12"/>
  <c r="AP37" i="12"/>
  <c r="AL37" i="12"/>
  <c r="AR37" i="12"/>
  <c r="AH38" i="12"/>
  <c r="AN38" i="12"/>
  <c r="AJ38" i="12"/>
  <c r="AP38" i="12"/>
  <c r="AL38" i="12"/>
  <c r="AR38" i="12"/>
  <c r="AH39" i="12"/>
  <c r="AN39" i="12"/>
  <c r="AJ39" i="12"/>
  <c r="AP39" i="12"/>
  <c r="AL39" i="12"/>
  <c r="AR39" i="12"/>
  <c r="AH40" i="12"/>
  <c r="AN40" i="12"/>
  <c r="AJ40" i="12"/>
  <c r="AP40" i="12"/>
  <c r="AL40" i="12"/>
  <c r="AR40" i="12"/>
  <c r="AG23" i="12"/>
  <c r="AM23" i="12"/>
  <c r="AK23" i="12"/>
  <c r="AQ23" i="12"/>
  <c r="AI24" i="12"/>
  <c r="AO24" i="12"/>
  <c r="AG25" i="12"/>
  <c r="AM25" i="12"/>
  <c r="AK25" i="12"/>
  <c r="AQ25" i="12"/>
  <c r="AI26" i="12"/>
  <c r="AO26" i="12"/>
  <c r="AG27" i="12"/>
  <c r="AM27" i="12"/>
  <c r="AK27" i="12"/>
  <c r="AQ27" i="12"/>
  <c r="AI28" i="12"/>
  <c r="AO28" i="12"/>
  <c r="AG29" i="12"/>
  <c r="AM29" i="12"/>
  <c r="AK29" i="12"/>
  <c r="AQ29" i="12"/>
  <c r="AI30" i="12"/>
  <c r="AO30" i="12"/>
  <c r="AG31" i="12"/>
  <c r="AM31" i="12"/>
  <c r="AK31" i="12"/>
  <c r="AQ31" i="12"/>
  <c r="AI32" i="12"/>
  <c r="AO32" i="12"/>
  <c r="AG33" i="12"/>
  <c r="AM33" i="12"/>
  <c r="AK33" i="12"/>
  <c r="AQ33" i="12"/>
  <c r="AI34" i="12"/>
  <c r="AO34" i="12"/>
  <c r="AG35" i="12"/>
  <c r="AM35" i="12"/>
  <c r="AK35" i="12"/>
  <c r="AQ35" i="12"/>
  <c r="AI36" i="12"/>
  <c r="AO36" i="12"/>
  <c r="AG37" i="12"/>
  <c r="AM37" i="12"/>
  <c r="AK37" i="12"/>
  <c r="AQ37" i="12"/>
  <c r="AI38" i="12"/>
  <c r="AO38" i="12"/>
  <c r="AG39" i="12"/>
  <c r="AM39" i="12"/>
  <c r="AK39" i="12"/>
  <c r="AQ39" i="12"/>
  <c r="AI40" i="12"/>
  <c r="AO40" i="12"/>
  <c r="AI23" i="12"/>
  <c r="AO23" i="12"/>
  <c r="AG24" i="12"/>
  <c r="AM24" i="12"/>
  <c r="AK24" i="12"/>
  <c r="AQ24" i="12"/>
  <c r="AI25" i="12"/>
  <c r="AO25" i="12"/>
  <c r="AG26" i="12"/>
  <c r="AM26" i="12"/>
  <c r="AK26" i="12"/>
  <c r="AQ26" i="12"/>
  <c r="AI27" i="12"/>
  <c r="AO27" i="12"/>
  <c r="AG28" i="12"/>
  <c r="AM28" i="12"/>
  <c r="AK28" i="12"/>
  <c r="AQ28" i="12"/>
  <c r="AI29" i="12"/>
  <c r="AO29" i="12"/>
  <c r="AG30" i="12"/>
  <c r="AM30" i="12"/>
  <c r="AK30" i="12"/>
  <c r="AQ30" i="12"/>
  <c r="AG32" i="12"/>
  <c r="AM32" i="12"/>
  <c r="AK32" i="12"/>
  <c r="AQ32" i="12"/>
  <c r="AI33" i="12"/>
  <c r="AO33" i="12"/>
  <c r="AG34" i="12"/>
  <c r="AM34" i="12"/>
  <c r="AK34" i="12"/>
  <c r="AQ34" i="12"/>
  <c r="AI35" i="12"/>
  <c r="AO35" i="12"/>
  <c r="AG36" i="12"/>
  <c r="AM36" i="12"/>
  <c r="AK36" i="12"/>
  <c r="AQ36" i="12"/>
  <c r="AI37" i="12"/>
  <c r="AO37" i="12"/>
  <c r="AG38" i="12"/>
  <c r="AM38" i="12"/>
  <c r="AK38" i="12"/>
  <c r="AQ38" i="12"/>
  <c r="AI39" i="12"/>
  <c r="AO39" i="12"/>
  <c r="AG40" i="12"/>
  <c r="AM40" i="12"/>
  <c r="AI31" i="12"/>
  <c r="AO31" i="12"/>
  <c r="AK40" i="12"/>
  <c r="AQ40" i="12"/>
  <c r="F50" i="9"/>
  <c r="D52" i="15" a="1"/>
  <c r="D52" i="15"/>
  <c r="G52" i="15" a="1"/>
  <c r="F52" i="15" a="1"/>
  <c r="F52" i="15"/>
  <c r="E52" i="15" a="1"/>
  <c r="C52" i="15" a="1"/>
  <c r="A25" i="14"/>
  <c r="B24" i="14"/>
  <c r="C24" i="14"/>
  <c r="E24" i="14"/>
  <c r="L24" i="4"/>
  <c r="H24" i="4"/>
  <c r="J24" i="4"/>
  <c r="K24" i="4"/>
  <c r="N24" i="4"/>
  <c r="P24" i="4"/>
  <c r="B50" i="12" a="1"/>
  <c r="F50" i="12" a="1"/>
  <c r="C50" i="12" a="1"/>
  <c r="D50" i="12" a="1"/>
  <c r="D50" i="12"/>
  <c r="E50" i="12" a="1"/>
  <c r="B25" i="4"/>
  <c r="A26" i="4"/>
  <c r="I25" i="4"/>
  <c r="D49" i="12" a="1"/>
  <c r="F49" i="12" a="1"/>
  <c r="F49" i="12"/>
  <c r="E49" i="12" a="1"/>
  <c r="C51" i="15" a="1"/>
  <c r="E51" i="15" a="1"/>
  <c r="D51" i="15" a="1"/>
  <c r="B49" i="12" a="1"/>
  <c r="C49" i="12" a="1"/>
  <c r="G51" i="15" a="1"/>
  <c r="F51" i="15" a="1"/>
  <c r="M23" i="4"/>
  <c r="O23" i="4"/>
  <c r="G23" i="14"/>
  <c r="N23" i="4"/>
  <c r="P23" i="4"/>
  <c r="G24" i="4"/>
  <c r="B49" i="12"/>
  <c r="C23" i="9"/>
  <c r="B50" i="12"/>
  <c r="B22" i="12"/>
  <c r="F50" i="12"/>
  <c r="E50" i="12"/>
  <c r="C50" i="12"/>
  <c r="E52" i="15"/>
  <c r="G52" i="15"/>
  <c r="C52" i="15"/>
  <c r="C49" i="12"/>
  <c r="B23" i="9"/>
  <c r="G51" i="15"/>
  <c r="F51" i="15"/>
  <c r="D49" i="12"/>
  <c r="E49" i="12"/>
  <c r="E23" i="9"/>
  <c r="F23" i="9"/>
  <c r="C51" i="15"/>
  <c r="E51" i="15"/>
  <c r="D51" i="15"/>
  <c r="H25" i="4"/>
  <c r="L25" i="4"/>
  <c r="J25" i="4"/>
  <c r="K25" i="4"/>
  <c r="N25" i="4"/>
  <c r="P25" i="4"/>
  <c r="B25" i="14"/>
  <c r="C25" i="14"/>
  <c r="E25" i="14"/>
  <c r="A26" i="14"/>
  <c r="B26" i="4"/>
  <c r="A27" i="4"/>
  <c r="I26" i="4"/>
  <c r="G25" i="4"/>
  <c r="B10" i="9" a="1"/>
  <c r="M24" i="4"/>
  <c r="O24" i="4"/>
  <c r="D24" i="14"/>
  <c r="F24" i="14"/>
  <c r="G24" i="14"/>
  <c r="F22" i="15"/>
  <c r="G22" i="15"/>
  <c r="C22" i="15"/>
  <c r="D22" i="15"/>
  <c r="E22" i="15"/>
  <c r="C9" i="15" a="1"/>
  <c r="C22" i="12"/>
  <c r="D22" i="12"/>
  <c r="E22" i="12"/>
  <c r="F22" i="12"/>
  <c r="B9" i="12" a="1"/>
  <c r="L26" i="4"/>
  <c r="H26" i="4"/>
  <c r="J26" i="4"/>
  <c r="B27" i="4"/>
  <c r="K27" i="4"/>
  <c r="A28" i="4"/>
  <c r="I27" i="4"/>
  <c r="B26" i="14"/>
  <c r="D26" i="14"/>
  <c r="F26" i="14"/>
  <c r="C26" i="14"/>
  <c r="E26" i="14"/>
  <c r="A27" i="14"/>
  <c r="B9" i="12"/>
  <c r="K26" i="4"/>
  <c r="G26" i="4"/>
  <c r="M26" i="4"/>
  <c r="O26" i="4"/>
  <c r="M25" i="4"/>
  <c r="O25" i="4"/>
  <c r="D25" i="14"/>
  <c r="F25" i="14"/>
  <c r="G25" i="14"/>
  <c r="C9" i="15"/>
  <c r="F17" i="15"/>
  <c r="G17" i="15"/>
  <c r="B27" i="14"/>
  <c r="C27" i="14"/>
  <c r="E27" i="14"/>
  <c r="A28" i="14"/>
  <c r="B28" i="4"/>
  <c r="K28" i="4"/>
  <c r="A29" i="4"/>
  <c r="I28" i="4"/>
  <c r="H27" i="4"/>
  <c r="L27" i="4"/>
  <c r="J27" i="4"/>
  <c r="G27" i="4"/>
  <c r="M27" i="4"/>
  <c r="O27" i="4"/>
  <c r="N26" i="4"/>
  <c r="P26" i="4"/>
  <c r="G26" i="14"/>
  <c r="E17" i="15"/>
  <c r="D17" i="15"/>
  <c r="C17" i="15"/>
  <c r="B29" i="4"/>
  <c r="K29" i="4"/>
  <c r="A30" i="4"/>
  <c r="I29" i="4"/>
  <c r="L28" i="4"/>
  <c r="H28" i="4"/>
  <c r="J28" i="4"/>
  <c r="N28" i="4"/>
  <c r="P28" i="4"/>
  <c r="B28" i="14"/>
  <c r="C28" i="14"/>
  <c r="E28" i="14"/>
  <c r="A29" i="14"/>
  <c r="N27" i="4"/>
  <c r="P27" i="4"/>
  <c r="G28" i="4"/>
  <c r="M28" i="4"/>
  <c r="O28" i="4"/>
  <c r="D27" i="14"/>
  <c r="F27" i="14"/>
  <c r="G27" i="14"/>
  <c r="B30" i="4"/>
  <c r="A30" i="14"/>
  <c r="B29" i="14"/>
  <c r="C29" i="14"/>
  <c r="E29" i="14"/>
  <c r="H29" i="4"/>
  <c r="L29" i="4"/>
  <c r="J29" i="4"/>
  <c r="D28" i="14"/>
  <c r="F28" i="14"/>
  <c r="G28" i="14"/>
  <c r="G29" i="4"/>
  <c r="M29" i="4"/>
  <c r="O29" i="4"/>
  <c r="L30" i="4"/>
  <c r="H30" i="4"/>
  <c r="J30" i="4"/>
  <c r="D29" i="14"/>
  <c r="F29" i="14"/>
  <c r="G29" i="14"/>
  <c r="K30" i="4"/>
  <c r="B30" i="14"/>
  <c r="D30" i="14"/>
  <c r="F30" i="14"/>
  <c r="C30" i="14"/>
  <c r="E30" i="14"/>
  <c r="N29" i="4"/>
  <c r="P29" i="4"/>
  <c r="I30" i="4"/>
  <c r="G30" i="4"/>
  <c r="N30" i="4"/>
  <c r="P30" i="4"/>
  <c r="M30" i="4"/>
  <c r="O30" i="4"/>
  <c r="I41" i="5" a="1"/>
  <c r="J41" i="5"/>
  <c r="K41" i="5"/>
  <c r="L41" i="5"/>
  <c r="M41" i="5"/>
  <c r="I41" i="5"/>
  <c r="B41" i="5" a="1"/>
  <c r="D41" i="5"/>
  <c r="B41" i="5"/>
  <c r="C41" i="5"/>
  <c r="F41" i="5"/>
  <c r="E41" i="5"/>
  <c r="D42" i="5"/>
  <c r="C42" i="5"/>
  <c r="E42" i="5"/>
  <c r="F42" i="5"/>
  <c r="B42" i="5"/>
  <c r="I42" i="5"/>
  <c r="L42" i="5"/>
  <c r="M42" i="5"/>
  <c r="J42" i="5"/>
  <c r="K42" i="5"/>
  <c r="J24" i="17" a="1"/>
  <c r="N24" i="17"/>
  <c r="N28" i="17"/>
  <c r="M24" i="17"/>
  <c r="M28" i="17"/>
  <c r="L24" i="17"/>
  <c r="L28" i="17"/>
  <c r="K24" i="17"/>
  <c r="K28" i="17"/>
  <c r="J24" i="17"/>
  <c r="J28" i="17"/>
  <c r="J37" i="17" a="1"/>
  <c r="J37" i="17"/>
  <c r="J38" i="17"/>
  <c r="C8" i="17"/>
  <c r="K37" i="17"/>
  <c r="K38" i="17"/>
  <c r="D8" i="17"/>
  <c r="L37" i="17"/>
  <c r="L38" i="17"/>
  <c r="E8" i="17"/>
  <c r="M37" i="17"/>
  <c r="M38" i="17"/>
  <c r="F8" i="17"/>
  <c r="N37" i="17"/>
  <c r="N38" i="17"/>
  <c r="G8" i="17"/>
  <c r="B43" i="5" a="1"/>
  <c r="B43" i="5"/>
  <c r="B44" i="5"/>
  <c r="B16" i="5"/>
  <c r="B17" i="5"/>
  <c r="C43" i="5"/>
  <c r="C44" i="5"/>
  <c r="C16" i="5"/>
  <c r="C17" i="5"/>
  <c r="D43" i="5"/>
  <c r="D44" i="5"/>
  <c r="D16" i="5"/>
  <c r="D17" i="5"/>
  <c r="E43" i="5"/>
  <c r="E44" i="5"/>
  <c r="E16" i="5"/>
  <c r="E17" i="5"/>
  <c r="F43" i="5"/>
  <c r="F44" i="5"/>
  <c r="F16" i="5"/>
  <c r="F17" i="5"/>
  <c r="I43" i="5" a="1"/>
  <c r="J43" i="5"/>
  <c r="J44" i="5"/>
  <c r="J16" i="5"/>
  <c r="Q12" i="5"/>
  <c r="I43" i="5"/>
  <c r="I44" i="5"/>
  <c r="I16" i="5"/>
  <c r="P12" i="5"/>
  <c r="K43" i="5"/>
  <c r="K44" i="5"/>
  <c r="K16" i="5"/>
  <c r="R12" i="5"/>
  <c r="I17" i="5"/>
  <c r="M43" i="5"/>
  <c r="M44" i="5"/>
  <c r="M16" i="5"/>
  <c r="M17" i="5"/>
  <c r="L43" i="5"/>
  <c r="L44" i="5"/>
  <c r="L16" i="5"/>
  <c r="L17" i="5"/>
  <c r="K17" i="5"/>
  <c r="J17" i="5"/>
  <c r="B11" i="5" a="1"/>
  <c r="B11" i="5"/>
  <c r="F10" i="5"/>
  <c r="E10" i="5"/>
  <c r="D10" i="5"/>
  <c r="C10" i="5"/>
  <c r="B10" i="5"/>
  <c r="D51" i="9"/>
  <c r="D23" i="9"/>
  <c r="B10" i="9"/>
  <c r="E18" i="9"/>
  <c r="E17" i="12"/>
  <c r="D18" i="9"/>
  <c r="D17" i="12"/>
  <c r="B18" i="9"/>
  <c r="B17" i="12"/>
  <c r="F18" i="9"/>
  <c r="F17" i="12"/>
  <c r="C18" i="9"/>
  <c r="C17" i="12"/>
</calcChain>
</file>

<file path=xl/comments1.xml><?xml version="1.0" encoding="utf-8"?>
<comments xmlns="http://schemas.openxmlformats.org/spreadsheetml/2006/main">
  <authors>
    <author>Carl Lira</author>
  </authors>
  <commentList>
    <comment ref="P31" authorId="0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>
  <authors>
    <author>Carl Lira</author>
  </authors>
  <commentList>
    <comment ref="C9" authorId="0">
      <text>
        <r>
          <rPr>
            <sz val="8"/>
            <color indexed="81"/>
            <rFont val="Tahoma"/>
            <family val="2"/>
          </rPr>
          <t>As distributed, this cell has a formula to calculate the bubble pressure.</t>
        </r>
      </text>
    </comment>
    <comment ref="G13" authorId="0">
      <text>
        <r>
          <rPr>
            <sz val="8"/>
            <color indexed="81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>
      <text>
        <r>
          <rPr>
            <sz val="8"/>
            <color indexed="81"/>
            <rFont val="Tahoma"/>
            <family val="2"/>
          </rPr>
          <t>Vapor phase mole fractions calculated automatically.</t>
        </r>
      </text>
    </comment>
    <comment ref="G21" authorId="0">
      <text>
        <r>
          <rPr>
            <sz val="8"/>
            <color indexed="81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>
      <text>
        <r>
          <rPr>
            <sz val="8"/>
            <color indexed="81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>
      <text>
        <r>
          <rPr>
            <sz val="8"/>
            <color indexed="81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indexed="81"/>
            <rFont val="Tahoma"/>
            <family val="2"/>
          </rPr>
          <t>are treated as zero if unavailable</t>
        </r>
        <r>
          <rPr>
            <sz val="8"/>
            <color indexed="81"/>
            <rFont val="Tahoma"/>
            <family val="2"/>
          </rPr>
          <t>. Check Table 1 on sheet "aij-UNIFAC (VLE)".</t>
        </r>
      </text>
    </comment>
    <comment ref="G45" authorId="0">
      <text>
        <r>
          <rPr>
            <sz val="8"/>
            <color indexed="81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>
  <authors>
    <author>Carl Lira</author>
  </authors>
  <commentList>
    <comment ref="AU8" authorId="0">
      <text>
        <r>
          <rPr>
            <sz val="8"/>
            <color indexed="81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<sst xmlns="http://schemas.openxmlformats.org/spreadsheetml/2006/main" count="554" uniqueCount="352">
  <si>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</si>
  <si>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</si>
  <si>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</si>
  <si>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</si>
  <si>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</si>
  <si>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</si>
  <si>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</si>
  <si>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</si>
  <si>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</si>
  <si>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</si>
  <si>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</si>
  <si>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</si>
  <si>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</si>
  <si>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</si>
  <si>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</si>
  <si>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</si>
  <si>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</si>
  <si>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</si>
  <si>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</si>
  <si>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</si>
  <si>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</si>
  <si>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</si>
  <si>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</si>
  <si>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</si>
  <si>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</si>
  <si>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</si>
  <si>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</si>
  <si>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</si>
  <si>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</si>
  <si>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</si>
  <si>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</si>
  <si>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</si>
  <si>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</si>
  <si>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</si>
  <si>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</si>
  <si>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</si>
  <si>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</si>
  <si>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</si>
  <si>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</si>
  <si>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</si>
  <si>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</si>
  <si>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</si>
  <si>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</si>
  <si>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</si>
  <si>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</si>
  <si>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</si>
  <si>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</si>
  <si>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</si>
  <si>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</si>
  <si>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</si>
  <si>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</si>
  <si>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</si>
  <si>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</si>
  <si>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</si>
  <si>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</si>
  <si>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</si>
  <si>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</si>
  <si>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</si>
  <si>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</si>
  <si>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</si>
  <si>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</si>
  <si>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</si>
  <si>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</si>
  <si>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</si>
  <si>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</si>
  <si>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</si>
  <si>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</si>
  <si>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</si>
  <si>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</si>
  <si>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</si>
  <si>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</si>
  <si>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</si>
  <si>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</si>
  <si>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</si>
  <si>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</si>
  <si>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</si>
  <si>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</si>
  <si>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</si>
  <si>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</si>
  <si>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</si>
  <si>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</si>
  <si>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</si>
  <si>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</si>
  <si>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</si>
  <si>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</si>
  <si>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</si>
  <si>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</si>
  <si>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</si>
  <si>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</si>
  <si>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</si>
  <si>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</si>
  <si>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</si>
  <si>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</si>
  <si>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</si>
  <si>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</si>
  <si>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</si>
  <si>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</si>
  <si>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</si>
  <si>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</si>
  <si>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</si>
  <si>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</si>
  <si>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</si>
  <si>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</si>
  <si>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</si>
  <si>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</si>
  <si>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</si>
  <si>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</si>
  <si>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</si>
  <si>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</si>
  <si>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</si>
  <si>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</si>
  <si>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</si>
  <si>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</si>
  <si>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</si>
  <si>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</si>
  <si>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</si>
  <si>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</si>
  <si>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</si>
  <si>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</si>
  <si>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</si>
  <si>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</si>
  <si>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</si>
  <si>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</si>
  <si>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</si>
  <si>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</si>
  <si>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</si>
  <si>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</si>
  <si>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</si>
  <si>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</si>
  <si>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</si>
  <si>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</si>
  <si>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</si>
  <si>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</si>
  <si>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</si>
  <si>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</si>
  <si>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</si>
  <si>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</si>
  <si>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</si>
  <si>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</si>
  <si>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</si>
  <si>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</si>
  <si>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</si>
  <si>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</si>
  <si>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</si>
  <si>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</si>
  <si>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</si>
  <si>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</si>
  <si>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</si>
  <si>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</si>
  <si>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</si>
  <si>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</si>
  <si>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</si>
  <si>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</si>
  <si>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</si>
  <si>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</si>
  <si>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</si>
  <si>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</si>
  <si>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</si>
  <si>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</si>
  <si>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</si>
  <si>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</si>
  <si>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</si>
  <si>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</si>
  <si>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</si>
  <si>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</si>
  <si>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</si>
  <si>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</si>
  <si>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</si>
  <si>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</si>
  <si>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</si>
  <si>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</si>
  <si>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</si>
  <si>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</si>
  <si>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</si>
  <si>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</si>
  <si>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</si>
  <si>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</si>
  <si>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</si>
  <si>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</si>
  <si>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</si>
  <si>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</si>
  <si>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</si>
  <si>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</si>
  <si>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</si>
  <si>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</si>
  <si>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</si>
  <si>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</si>
  <si>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</si>
  <si>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</si>
  <si>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</si>
  <si>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</si>
  <si>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</si>
  <si>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</si>
  <si>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</si>
  <si>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</si>
  <si>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</si>
  <si>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</si>
  <si>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</si>
  <si>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</si>
  <si>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</si>
  <si>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</si>
  <si>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</si>
  <si>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</si>
  <si>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</si>
  <si>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</si>
  <si>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</si>
  <si>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</si>
  <si>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</si>
  <si>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</si>
  <si>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</si>
  <si>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</si>
  <si>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</si>
  <si>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</si>
  <si>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</si>
  <si>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</si>
  <si>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</si>
  <si>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</si>
  <si>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</si>
  <si>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</si>
  <si>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</si>
  <si>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</si>
  <si>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</si>
  <si>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</si>
  <si>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</si>
  <si>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</si>
  <si>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</si>
  <si>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</si>
  <si>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</si>
  <si>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</si>
  <si>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</si>
  <si>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</si>
  <si>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</si>
  <si>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</si>
  <si>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</si>
  <si>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</si>
  <si>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</si>
  <si>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</si>
  <si>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</si>
  <si>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</si>
  <si>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</si>
  <si>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</si>
  <si>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</si>
  <si>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</si>
  <si>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</si>
  <si>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</si>
  <si>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</si>
  <si>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</si>
  <si>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</si>
  <si>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</si>
  <si>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</si>
  <si>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</si>
  <si>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</si>
  <si>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</si>
  <si>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</si>
  <si>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</si>
  <si>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</si>
  <si>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</si>
  <si>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</si>
  <si>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</si>
  <si>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</si>
  <si>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</si>
  <si>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</si>
  <si>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</si>
  <si>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C2-COOH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</si>
  <si>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</si>
  <si>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</si>
  <si>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</si>
  <si>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</si>
  <si>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</si>
  <si>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</si>
  <si>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</si>
  <si>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</si>
  <si>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</si>
  <si>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</si>
  <si>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</si>
  <si>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</si>
  <si>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</si>
  <si>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</si>
  <si>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</si>
  <si>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</si>
  <si>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</si>
  <si>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</si>
  <si>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</si>
  <si>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</si>
  <si>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</si>
  <si>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</si>
  <si>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</si>
  <si>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</si>
  <si>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</si>
  <si>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</si>
  <si>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</si>
  <si>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</si>
  <si>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</si>
  <si>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</si>
  <si>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</si>
  <si>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</si>
  <si>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</si>
  <si>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</si>
  <si>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</si>
  <si>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</si>
  <si>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</si>
  <si>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</si>
  <si>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</si>
  <si>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</si>
  <si>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</si>
  <si>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</si>
  <si>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</si>
  <si>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</si>
  <si>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</si>
  <si>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</si>
  <si>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</si>
  <si>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</si>
  <si>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</si>
  <si>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</si>
  <si>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</si>
  <si>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</si>
  <si>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</si>
  <si>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</si>
  <si>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</si>
  <si>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</si>
  <si>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</si>
  <si>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</si>
  <si>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</si>
  <si>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</si>
  <si>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</si>
  <si>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</si>
  <si>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</si>
  <si>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</si>
  <si>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</si>
  <si>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</si>
  <si>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</si>
  <si>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</si>
  <si>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</si>
  <si>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</si>
  <si>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</si>
  <si>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</si>
  <si>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</si>
  <si>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</si>
  <si>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</si>
  <si>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</si>
  <si>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</si>
  <si>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</si>
  <si>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</si>
  <si>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</si>
  <si>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none</t>
  </si>
  <si>
    <t>ethyl benzene</t>
  </si>
  <si>
    <t>Methanol</t>
  </si>
  <si>
    <t>C6H12</t>
  </si>
  <si>
    <t>(1) Water</t>
  </si>
  <si>
    <t>(2) MEK</t>
  </si>
  <si>
    <t>water</t>
  </si>
  <si>
    <t>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</si>
</sst>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5" x14ac:knownFonts="1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sz val="8"/>
      <name val="Arial"/>
    </font>
    <font>
      <sz val="10"/>
      <color indexed="12"/>
      <name val="Arial"/>
    </font>
    <font>
      <sz val="10"/>
      <color indexed="39"/>
      <name val="Arial"/>
    </font>
    <font>
      <u/>
      <sz val="10"/>
      <color theme="10"/>
      <name val="Courier"/>
    </font>
    <font>
      <u/>
      <sz val="10"/>
      <color theme="11"/>
      <name val="Courie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">
    <xf numFmtId="164" fontId="0" fillId="0" borderId="0"/>
    <xf numFmtId="164" fontId="33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</cellStyleXfs>
  <cellXfs count="2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8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9" fillId="0" borderId="0" xfId="3"/>
    <xf numFmtId="0" fontId="15" fillId="0" borderId="0" xfId="3" applyFont="1"/>
    <xf numFmtId="0" fontId="39" fillId="0" borderId="12" xfId="3" applyBorder="1"/>
    <xf numFmtId="0" fontId="41" fillId="0" borderId="12" xfId="3" applyFont="1" applyBorder="1" applyProtection="1">
      <protection locked="0"/>
    </xf>
    <xf numFmtId="11" fontId="41" fillId="0" borderId="12" xfId="3" applyNumberFormat="1" applyFont="1" applyBorder="1" applyProtection="1">
      <protection locked="0"/>
    </xf>
    <xf numFmtId="0" fontId="39" fillId="0" borderId="12" xfId="3" applyFont="1" applyBorder="1" applyProtection="1"/>
    <xf numFmtId="0" fontId="39" fillId="0" borderId="0" xfId="3" applyFont="1"/>
    <xf numFmtId="0" fontId="39" fillId="0" borderId="1" xfId="3" applyBorder="1"/>
    <xf numFmtId="0" fontId="39" fillId="0" borderId="2" xfId="3" applyBorder="1"/>
    <xf numFmtId="0" fontId="39" fillId="0" borderId="4" xfId="3" applyBorder="1"/>
    <xf numFmtId="0" fontId="39" fillId="0" borderId="13" xfId="3" applyBorder="1"/>
    <xf numFmtId="0" fontId="39" fillId="0" borderId="0" xfId="3" applyBorder="1"/>
    <xf numFmtId="0" fontId="39" fillId="0" borderId="14" xfId="3" applyBorder="1"/>
    <xf numFmtId="0" fontId="39" fillId="0" borderId="5" xfId="3" applyBorder="1"/>
    <xf numFmtId="0" fontId="39" fillId="0" borderId="6" xfId="3" applyBorder="1"/>
    <xf numFmtId="0" fontId="39" fillId="0" borderId="8" xfId="3" applyBorder="1"/>
    <xf numFmtId="0" fontId="42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</cellXfs>
  <cellStyles count="18"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Normal_Actcoeff" xfId="1"/>
    <cellStyle name="Normal_aij-unifac" xfId="2"/>
    <cellStyle name="Normal_nrtlaug11" xfId="3"/>
    <cellStyle name="Normal_Regular" xfId="4"/>
    <cellStyle name="Normal_unifac" xfId="5"/>
    <cellStyle name="Normal_unifac_1" xfId="6"/>
    <cellStyle name="Normal_UNIQUAC5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"/>
          <c:y val="0.122049520816136"/>
          <c:w val="0.781392924036148"/>
          <c:h val="0.55600337260684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</c:v>
                </c:pt>
                <c:pt idx="1">
                  <c:v>347.5419961818736</c:v>
                </c:pt>
                <c:pt idx="2">
                  <c:v>343.5351662641863</c:v>
                </c:pt>
                <c:pt idx="3">
                  <c:v>338.7873661067195</c:v>
                </c:pt>
                <c:pt idx="4">
                  <c:v>332.7723037033779</c:v>
                </c:pt>
                <c:pt idx="5">
                  <c:v>328.1309218509771</c:v>
                </c:pt>
                <c:pt idx="6">
                  <c:v>327.2005644950769</c:v>
                </c:pt>
                <c:pt idx="7">
                  <c:v>326.284469683063</c:v>
                </c:pt>
                <c:pt idx="8">
                  <c:v>326.5135586643091</c:v>
                </c:pt>
                <c:pt idx="9">
                  <c:v>326.0515606261106</c:v>
                </c:pt>
                <c:pt idx="10">
                  <c:v>324.3530037548555</c:v>
                </c:pt>
                <c:pt idx="11">
                  <c:v>328.1293040946144</c:v>
                </c:pt>
                <c:pt idx="12">
                  <c:v>328.1229693993971</c:v>
                </c:pt>
                <c:pt idx="13">
                  <c:v>337.6975630882692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0.0</c:v>
                </c:pt>
                <c:pt idx="1">
                  <c:v>0.185238076064819</c:v>
                </c:pt>
                <c:pt idx="2">
                  <c:v>0.30110019978909</c:v>
                </c:pt>
                <c:pt idx="3">
                  <c:v>0.424904509185543</c:v>
                </c:pt>
                <c:pt idx="4">
                  <c:v>0.564132921603005</c:v>
                </c:pt>
                <c:pt idx="5">
                  <c:v>0.663595805960451</c:v>
                </c:pt>
                <c:pt idx="6">
                  <c:v>0.684262540119506</c:v>
                </c:pt>
                <c:pt idx="7">
                  <c:v>0.70609242119422</c:v>
                </c:pt>
                <c:pt idx="8">
                  <c:v>0.666877529246856</c:v>
                </c:pt>
                <c:pt idx="9">
                  <c:v>0.62387464473882</c:v>
                </c:pt>
                <c:pt idx="10">
                  <c:v>0.555920593703709</c:v>
                </c:pt>
                <c:pt idx="11">
                  <c:v>0.663378880327502</c:v>
                </c:pt>
                <c:pt idx="12">
                  <c:v>0.663189302583514</c:v>
                </c:pt>
                <c:pt idx="13">
                  <c:v>0.999993331503161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</c:v>
                </c:pt>
                <c:pt idx="1">
                  <c:v>347.5419961818736</c:v>
                </c:pt>
                <c:pt idx="2">
                  <c:v>343.5351662641863</c:v>
                </c:pt>
                <c:pt idx="3">
                  <c:v>338.7873661067195</c:v>
                </c:pt>
                <c:pt idx="4">
                  <c:v>332.7723037033779</c:v>
                </c:pt>
                <c:pt idx="5">
                  <c:v>328.1309218509771</c:v>
                </c:pt>
                <c:pt idx="6">
                  <c:v>327.2005644950769</c:v>
                </c:pt>
                <c:pt idx="7">
                  <c:v>326.284469683063</c:v>
                </c:pt>
                <c:pt idx="8">
                  <c:v>326.5135586643091</c:v>
                </c:pt>
                <c:pt idx="9">
                  <c:v>326.0515606261106</c:v>
                </c:pt>
                <c:pt idx="10">
                  <c:v>324.3530037548555</c:v>
                </c:pt>
                <c:pt idx="11">
                  <c:v>328.1293040946144</c:v>
                </c:pt>
                <c:pt idx="12">
                  <c:v>328.1229693993971</c:v>
                </c:pt>
                <c:pt idx="13">
                  <c:v>337.6975630882692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066072"/>
        <c:axId val="2088075560"/>
      </c:scatterChart>
      <c:valAx>
        <c:axId val="2088066072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75560"/>
        <c:crosses val="autoZero"/>
        <c:crossBetween val="midCat"/>
      </c:valAx>
      <c:valAx>
        <c:axId val="20880755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44416167068054"/>
              <c:y val="0.325465465465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6607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3"/>
          <c:h val="0.60902387162732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</c:v>
                </c:pt>
                <c:pt idx="1">
                  <c:v>349.9044817301866</c:v>
                </c:pt>
                <c:pt idx="2">
                  <c:v>347.3400635956826</c:v>
                </c:pt>
                <c:pt idx="3">
                  <c:v>344.0370017352914</c:v>
                </c:pt>
                <c:pt idx="4">
                  <c:v>339.3170186440948</c:v>
                </c:pt>
                <c:pt idx="5">
                  <c:v>334.9080466170854</c:v>
                </c:pt>
                <c:pt idx="6">
                  <c:v>333.7934560134403</c:v>
                </c:pt>
                <c:pt idx="7">
                  <c:v>331.531833128346</c:v>
                </c:pt>
                <c:pt idx="8">
                  <c:v>331.3173479711277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334.4796339882687</c:v>
                </c:pt>
                <c:pt idx="13">
                  <c:v>337.6975636968041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0.0</c:v>
                </c:pt>
                <c:pt idx="1">
                  <c:v>0.121703273892264</c:v>
                </c:pt>
                <c:pt idx="2">
                  <c:v>0.20945461254558</c:v>
                </c:pt>
                <c:pt idx="3">
                  <c:v>0.316068152216946</c:v>
                </c:pt>
                <c:pt idx="4">
                  <c:v>0.45781033744987</c:v>
                </c:pt>
                <c:pt idx="5">
                  <c:v>0.583863708364844</c:v>
                </c:pt>
                <c:pt idx="6">
                  <c:v>0.616531949980481</c:v>
                </c:pt>
                <c:pt idx="7">
                  <c:v>0.695850688008728</c:v>
                </c:pt>
                <c:pt idx="8">
                  <c:v>0.713472417473853</c:v>
                </c:pt>
                <c:pt idx="9">
                  <c:v>0.716810389590562</c:v>
                </c:pt>
                <c:pt idx="10">
                  <c:v>0.740723315483042</c:v>
                </c:pt>
                <c:pt idx="11">
                  <c:v>0.859508713114278</c:v>
                </c:pt>
                <c:pt idx="12">
                  <c:v>0.85939512651294</c:v>
                </c:pt>
                <c:pt idx="13">
                  <c:v>0.999993355450138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</c:v>
                </c:pt>
                <c:pt idx="1">
                  <c:v>349.9044817301866</c:v>
                </c:pt>
                <c:pt idx="2">
                  <c:v>347.3400635956826</c:v>
                </c:pt>
                <c:pt idx="3">
                  <c:v>344.0370017352914</c:v>
                </c:pt>
                <c:pt idx="4">
                  <c:v>339.3170186440948</c:v>
                </c:pt>
                <c:pt idx="5">
                  <c:v>334.9080466170854</c:v>
                </c:pt>
                <c:pt idx="6">
                  <c:v>333.7934560134403</c:v>
                </c:pt>
                <c:pt idx="7">
                  <c:v>331.531833128346</c:v>
                </c:pt>
                <c:pt idx="8">
                  <c:v>331.3173479711277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334.4796339882687</c:v>
                </c:pt>
                <c:pt idx="13">
                  <c:v>337.6975636968041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154696"/>
        <c:axId val="2088162872"/>
      </c:scatterChart>
      <c:valAx>
        <c:axId val="2088154696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"/>
              <c:y val="0.84387614894751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62872"/>
        <c:crosses val="autoZero"/>
        <c:crossBetween val="midCat"/>
      </c:valAx>
      <c:valAx>
        <c:axId val="2088162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7884874319788"/>
              <c:y val="0.3463073689493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546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5"/>
          <c:y val="0.120556414219474"/>
          <c:w val="0.774269928966061"/>
          <c:h val="0.5703245749613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345.7697705622763</c:v>
                </c:pt>
                <c:pt idx="2">
                  <c:v>341.64014571246</c:v>
                </c:pt>
                <c:pt idx="3">
                  <c:v>337.673840810783</c:v>
                </c:pt>
                <c:pt idx="4">
                  <c:v>333.9082925468211</c:v>
                </c:pt>
                <c:pt idx="5">
                  <c:v>332.028475646921</c:v>
                </c:pt>
                <c:pt idx="6">
                  <c:v>331.7812869090512</c:v>
                </c:pt>
                <c:pt idx="7">
                  <c:v>331.4726534358632</c:v>
                </c:pt>
                <c:pt idx="8">
                  <c:v>331.5290101878542</c:v>
                </c:pt>
                <c:pt idx="9">
                  <c:v>331.8997098001541</c:v>
                </c:pt>
                <c:pt idx="10">
                  <c:v>333.5813976995855</c:v>
                </c:pt>
                <c:pt idx="11">
                  <c:v>336.2126793449767</c:v>
                </c:pt>
                <c:pt idx="12">
                  <c:v>336.2110968660817</c:v>
                </c:pt>
                <c:pt idx="13">
                  <c:v>337.6975636968056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0.0</c:v>
                </c:pt>
                <c:pt idx="1">
                  <c:v>0.229723591091677</c:v>
                </c:pt>
                <c:pt idx="2">
                  <c:v>0.340957947534613</c:v>
                </c:pt>
                <c:pt idx="3">
                  <c:v>0.440327091521538</c:v>
                </c:pt>
                <c:pt idx="4">
                  <c:v>0.531028073769225</c:v>
                </c:pt>
                <c:pt idx="5">
                  <c:v>0.580220382725076</c:v>
                </c:pt>
                <c:pt idx="6">
                  <c:v>0.588308054287103</c:v>
                </c:pt>
                <c:pt idx="7">
                  <c:v>0.605748564273276</c:v>
                </c:pt>
                <c:pt idx="8">
                  <c:v>0.633487634248078</c:v>
                </c:pt>
                <c:pt idx="9">
                  <c:v>0.669133452012555</c:v>
                </c:pt>
                <c:pt idx="10">
                  <c:v>0.774548803002859</c:v>
                </c:pt>
                <c:pt idx="11">
                  <c:v>0.91856333050174</c:v>
                </c:pt>
                <c:pt idx="12">
                  <c:v>0.918477261975847</c:v>
                </c:pt>
                <c:pt idx="13">
                  <c:v>0.999993355450199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345.7697705622763</c:v>
                </c:pt>
                <c:pt idx="2">
                  <c:v>341.64014571246</c:v>
                </c:pt>
                <c:pt idx="3">
                  <c:v>337.673840810783</c:v>
                </c:pt>
                <c:pt idx="4">
                  <c:v>333.9082925468211</c:v>
                </c:pt>
                <c:pt idx="5">
                  <c:v>332.028475646921</c:v>
                </c:pt>
                <c:pt idx="6">
                  <c:v>331.7812869090512</c:v>
                </c:pt>
                <c:pt idx="7">
                  <c:v>331.4726534358632</c:v>
                </c:pt>
                <c:pt idx="8">
                  <c:v>331.5290101878542</c:v>
                </c:pt>
                <c:pt idx="9">
                  <c:v>331.8997098001541</c:v>
                </c:pt>
                <c:pt idx="10">
                  <c:v>333.5813976995855</c:v>
                </c:pt>
                <c:pt idx="11">
                  <c:v>336.2126793449767</c:v>
                </c:pt>
                <c:pt idx="12">
                  <c:v>336.2110968660817</c:v>
                </c:pt>
                <c:pt idx="13">
                  <c:v>337.6975636968056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04840"/>
        <c:axId val="2088212936"/>
      </c:scatterChart>
      <c:valAx>
        <c:axId val="2088204840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"/>
              <c:y val="0.8299847402795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12936"/>
        <c:crosses val="autoZero"/>
        <c:crossBetween val="midCat"/>
      </c:valAx>
      <c:valAx>
        <c:axId val="2088212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7884874319788"/>
              <c:y val="0.3431220167246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04840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"/>
          <c:y val="0.0541586585003046"/>
          <c:w val="0.742332770826884"/>
          <c:h val="0.793037499468746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3.516221341292845</c:v>
                </c:pt>
                <c:pt idx="1">
                  <c:v>3.104652965905924</c:v>
                </c:pt>
                <c:pt idx="2">
                  <c:v>2.76038390633134</c:v>
                </c:pt>
                <c:pt idx="3">
                  <c:v>2.471109638676334</c:v>
                </c:pt>
                <c:pt idx="4">
                  <c:v>2.227060603549298</c:v>
                </c:pt>
                <c:pt idx="5">
                  <c:v>2.020438770453031</c:v>
                </c:pt>
                <c:pt idx="6">
                  <c:v>1.844989098095063</c:v>
                </c:pt>
                <c:pt idx="7">
                  <c:v>1.695671717600147</c:v>
                </c:pt>
                <c:pt idx="8">
                  <c:v>1.568409807955744</c:v>
                </c:pt>
                <c:pt idx="9">
                  <c:v>1.459894718078738</c:v>
                </c:pt>
                <c:pt idx="10">
                  <c:v>1.367434664589407</c:v>
                </c:pt>
                <c:pt idx="11">
                  <c:v>1.288836819377158</c:v>
                </c:pt>
                <c:pt idx="12">
                  <c:v>1.222315161781493</c:v>
                </c:pt>
                <c:pt idx="13">
                  <c:v>1.166418364955531</c:v>
                </c:pt>
                <c:pt idx="14">
                  <c:v>1.119973398540232</c:v>
                </c:pt>
                <c:pt idx="15">
                  <c:v>1.082041591962959</c:v>
                </c:pt>
                <c:pt idx="16">
                  <c:v>1.051884709804451</c:v>
                </c:pt>
                <c:pt idx="17">
                  <c:v>1.028939212402844</c:v>
                </c:pt>
                <c:pt idx="18">
                  <c:v>1.012797362776994</c:v>
                </c:pt>
                <c:pt idx="19">
                  <c:v>1.003194234033502</c:v>
                </c:pt>
                <c:pt idx="20">
                  <c:v>1.0</c:v>
                </c:pt>
              </c:numCache>
            </c:numRef>
          </c:yVal>
          <c:smooth val="1"/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1.0</c:v>
                </c:pt>
                <c:pt idx="1">
                  <c:v>1.003194234033502</c:v>
                </c:pt>
                <c:pt idx="2">
                  <c:v>1.012797362776994</c:v>
                </c:pt>
                <c:pt idx="3">
                  <c:v>1.028939212402844</c:v>
                </c:pt>
                <c:pt idx="4">
                  <c:v>1.051884709804451</c:v>
                </c:pt>
                <c:pt idx="5">
                  <c:v>1.082041591962959</c:v>
                </c:pt>
                <c:pt idx="6">
                  <c:v>1.119973398540232</c:v>
                </c:pt>
                <c:pt idx="7">
                  <c:v>1.166418364955531</c:v>
                </c:pt>
                <c:pt idx="8">
                  <c:v>1.222315161781493</c:v>
                </c:pt>
                <c:pt idx="9">
                  <c:v>1.288836819377158</c:v>
                </c:pt>
                <c:pt idx="10">
                  <c:v>1.367434664589407</c:v>
                </c:pt>
                <c:pt idx="11">
                  <c:v>1.459894718078738</c:v>
                </c:pt>
                <c:pt idx="12">
                  <c:v>1.568409807955744</c:v>
                </c:pt>
                <c:pt idx="13">
                  <c:v>1.695671717600147</c:v>
                </c:pt>
                <c:pt idx="14">
                  <c:v>1.844989098095063</c:v>
                </c:pt>
                <c:pt idx="15">
                  <c:v>2.020438770453031</c:v>
                </c:pt>
                <c:pt idx="16">
                  <c:v>2.227060603549298</c:v>
                </c:pt>
                <c:pt idx="17">
                  <c:v>2.471109638676334</c:v>
                </c:pt>
                <c:pt idx="18">
                  <c:v>2.76038390633134</c:v>
                </c:pt>
                <c:pt idx="19">
                  <c:v>3.104652965905924</c:v>
                </c:pt>
                <c:pt idx="20">
                  <c:v>3.516221341292845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64008"/>
        <c:axId val="2088270072"/>
      </c:scatterChart>
      <c:valAx>
        <c:axId val="2088264008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5"/>
              <c:y val="0.9168287188980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70072"/>
        <c:crosses val="autoZero"/>
        <c:crossBetween val="midCat"/>
      </c:valAx>
      <c:valAx>
        <c:axId val="2088270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gamma</a:t>
                </a:r>
              </a:p>
            </c:rich>
          </c:tx>
          <c:layout>
            <c:manualLayout>
              <c:xMode val="edge"/>
              <c:yMode val="edge"/>
              <c:x val="0.0306749078854085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6400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"/>
          <c:y val="0.10058036578628"/>
          <c:w val="0.175869471876342"/>
          <c:h val="0.08317222555403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2"/>
          <c:y val="0.101754734631081"/>
          <c:w val="0.768519908347635"/>
          <c:h val="0.64912503126724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0.0</c:v>
                </c:pt>
                <c:pt idx="1">
                  <c:v>-0.0585262631843911</c:v>
                </c:pt>
                <c:pt idx="2">
                  <c:v>-0.0731708098289835</c:v>
                </c:pt>
                <c:pt idx="3">
                  <c:v>-0.0794171187110159</c:v>
                </c:pt>
                <c:pt idx="4">
                  <c:v>-0.0819018615373149</c:v>
                </c:pt>
                <c:pt idx="5">
                  <c:v>-0.082054004240711</c:v>
                </c:pt>
                <c:pt idx="6">
                  <c:v>-0.0804432090879718</c:v>
                </c:pt>
                <c:pt idx="7">
                  <c:v>-0.0773585342630809</c:v>
                </c:pt>
                <c:pt idx="8">
                  <c:v>-0.0730010690197934</c:v>
                </c:pt>
                <c:pt idx="9">
                  <c:v>-0.0675617606842803</c:v>
                </c:pt>
                <c:pt idx="10">
                  <c:v>-0.061259330978385</c:v>
                </c:pt>
                <c:pt idx="11">
                  <c:v>-0.0543634985491033</c:v>
                </c:pt>
                <c:pt idx="12">
                  <c:v>-0.047213104265483</c:v>
                </c:pt>
                <c:pt idx="13">
                  <c:v>-0.0402326182833819</c:v>
                </c:pt>
                <c:pt idx="14">
                  <c:v>-0.0339465615986393</c:v>
                </c:pt>
                <c:pt idx="15">
                  <c:v>-0.0289853359369186</c:v>
                </c:pt>
                <c:pt idx="16">
                  <c:v>-0.0260601035026937</c:v>
                </c:pt>
                <c:pt idx="17">
                  <c:v>-0.0258326731797056</c:v>
                </c:pt>
                <c:pt idx="18">
                  <c:v>-0.0284009455277634</c:v>
                </c:pt>
                <c:pt idx="19">
                  <c:v>-0.0309716039073655</c:v>
                </c:pt>
                <c:pt idx="20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43256"/>
        <c:axId val="2088450296"/>
      </c:scatterChart>
      <c:valAx>
        <c:axId val="2088443256"/>
        <c:scaling>
          <c:orientation val="minMax"/>
          <c:max val="1.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"/>
              <c:y val="0.8456169820877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50296"/>
        <c:crossesAt val="-0.2"/>
        <c:crossBetween val="midCat"/>
        <c:majorUnit val="0.1"/>
        <c:minorUnit val="0.05"/>
      </c:valAx>
      <c:valAx>
        <c:axId val="2088450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0.029629586505014"/>
              <c:y val="0.3298256665285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43256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.0" l="1.25" r="1.25" t="1.5" header="0.5" footer="0.5"/>
    <c:pageSetup orientation="portrait" blackAndWhite="1" horizontalDpi="300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8"/>
          <c:y val="0.0923566878980892"/>
          <c:w val="0.797423165255174"/>
          <c:h val="0.681528662420383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0.0</c:v>
                </c:pt>
                <c:pt idx="1">
                  <c:v>0.610264328286937</c:v>
                </c:pt>
                <c:pt idx="2">
                  <c:v>0.788625557322434</c:v>
                </c:pt>
                <c:pt idx="3">
                  <c:v>0.862965233603818</c:v>
                </c:pt>
                <c:pt idx="4">
                  <c:v>0.904090270685581</c:v>
                </c:pt>
                <c:pt idx="5">
                  <c:v>0.932221117215808</c:v>
                </c:pt>
                <c:pt idx="6">
                  <c:v>0.954035438067104</c:v>
                </c:pt>
                <c:pt idx="7">
                  <c:v>0.971823099065266</c:v>
                </c:pt>
                <c:pt idx="8">
                  <c:v>0.986273299292336</c:v>
                </c:pt>
                <c:pt idx="9">
                  <c:v>0.997461619630226</c:v>
                </c:pt>
                <c:pt idx="10">
                  <c:v>1.005247165413261</c:v>
                </c:pt>
                <c:pt idx="11">
                  <c:v>1.009456638003625</c:v>
                </c:pt>
                <c:pt idx="12">
                  <c:v>1.009989316964721</c:v>
                </c:pt>
                <c:pt idx="13">
                  <c:v>1.006898157665689</c:v>
                </c:pt>
                <c:pt idx="14">
                  <c:v>1.000476631202501</c:v>
                </c:pt>
                <c:pt idx="15">
                  <c:v>0.991377308462468</c:v>
                </c:pt>
                <c:pt idx="16">
                  <c:v>0.980800755122163</c:v>
                </c:pt>
                <c:pt idx="17">
                  <c:v>0.97083217607706</c:v>
                </c:pt>
                <c:pt idx="18">
                  <c:v>0.965108276838923</c:v>
                </c:pt>
                <c:pt idx="19">
                  <c:v>0.970305491256877</c:v>
                </c:pt>
                <c:pt idx="20">
                  <c:v>1.00000000001058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1.0</c:v>
                </c:pt>
                <c:pt idx="1">
                  <c:v>0.965012910879494</c:v>
                </c:pt>
                <c:pt idx="2">
                  <c:v>0.946564608853712</c:v>
                </c:pt>
                <c:pt idx="3">
                  <c:v>0.934799216189241</c:v>
                </c:pt>
                <c:pt idx="4">
                  <c:v>0.925731715620421</c:v>
                </c:pt>
                <c:pt idx="5">
                  <c:v>0.917584818354819</c:v>
                </c:pt>
                <c:pt idx="6">
                  <c:v>0.909597875326276</c:v>
                </c:pt>
                <c:pt idx="7">
                  <c:v>0.90156503535352</c:v>
                </c:pt>
                <c:pt idx="8">
                  <c:v>0.893638519320142</c:v>
                </c:pt>
                <c:pt idx="9">
                  <c:v>0.886246573158577</c:v>
                </c:pt>
                <c:pt idx="10">
                  <c:v>0.880071513945019</c:v>
                </c:pt>
                <c:pt idx="11">
                  <c:v>0.876067987866533</c:v>
                </c:pt>
                <c:pt idx="12">
                  <c:v>0.875515528260178</c:v>
                </c:pt>
                <c:pt idx="13">
                  <c:v>0.880102220442196</c:v>
                </c:pt>
                <c:pt idx="14">
                  <c:v>0.892019683585864</c:v>
                </c:pt>
                <c:pt idx="15">
                  <c:v>0.913966740040856</c:v>
                </c:pt>
                <c:pt idx="16">
                  <c:v>0.948610741637099</c:v>
                </c:pt>
                <c:pt idx="17">
                  <c:v>0.995534927215942</c:v>
                </c:pt>
                <c:pt idx="18">
                  <c:v>1.036267551000359</c:v>
                </c:pt>
                <c:pt idx="19">
                  <c:v>0.954383169281852</c:v>
                </c:pt>
                <c:pt idx="20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93928"/>
        <c:axId val="2088500296"/>
      </c:scatterChart>
      <c:valAx>
        <c:axId val="2088493928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1"/>
              <c:y val="0.85987251593550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500296"/>
        <c:crosses val="autoZero"/>
        <c:crossBetween val="midCat"/>
        <c:majorUnit val="0.1"/>
        <c:minorUnit val="0.05"/>
      </c:valAx>
      <c:valAx>
        <c:axId val="2088500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0.0257826887661142"/>
              <c:y val="0.388535099779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9392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.0" l="0.75" r="0.75" t="1.0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B2:C39"/>
  <sheetViews>
    <sheetView showGridLines="0" topLeftCell="A6" zoomScale="150" zoomScaleNormal="150" zoomScalePageLayoutView="150" workbookViewId="0">
      <selection activeCell="M13" sqref="M13"/>
    </sheetView>
  </sheetViews>
  <sheetFormatPr baseColWidth="10" defaultColWidth="9.1640625" defaultRowHeight="13" x14ac:dyDescent="0"/>
  <cols>
    <col min="1" max="1" width="9.1640625" style="1" customWidth="1"/>
    <col min="2" max="2" width="16.33203125" style="1" customWidth="1"/>
    <col min="3" max="16384" width="9.1640625" style="1"/>
  </cols>
  <sheetData>
    <row r="2" spans="2:3" ht="25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306</v>
      </c>
      <c r="C12" s="1" t="s">
        <v>309</v>
      </c>
    </row>
    <row r="14" spans="2:3">
      <c r="B14" s="1" t="s">
        <v>307</v>
      </c>
      <c r="C14" s="1" t="s">
        <v>308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240</v>
      </c>
      <c r="C20" s="1" t="s">
        <v>241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238</v>
      </c>
      <c r="C27" s="1" t="s">
        <v>239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343</v>
      </c>
    </row>
    <row r="38" spans="2:2">
      <c r="B38" s="1" t="s">
        <v>304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 enableFormatConditionsCalculation="0">
    <pageSetUpPr fitToPage="1"/>
  </sheetPr>
  <dimension ref="A1:AW51"/>
  <sheetViews>
    <sheetView showGridLines="0" tabSelected="1" topLeftCell="A14" zoomScale="150" zoomScaleNormal="150" zoomScalePageLayoutView="150" workbookViewId="0">
      <selection activeCell="C26" sqref="C26"/>
    </sheetView>
  </sheetViews>
  <sheetFormatPr baseColWidth="10" defaultColWidth="9.1640625" defaultRowHeight="15" x14ac:dyDescent="0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9.332031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302</v>
      </c>
      <c r="B1" s="144"/>
      <c r="C1" s="144"/>
    </row>
    <row r="2" spans="1:47">
      <c r="A2" s="144" t="s">
        <v>106</v>
      </c>
      <c r="B2" s="144"/>
      <c r="C2" s="144"/>
    </row>
    <row r="3" spans="1:47">
      <c r="A3" s="144" t="s">
        <v>107</v>
      </c>
      <c r="B3" s="144"/>
      <c r="C3" s="144"/>
    </row>
    <row r="4" spans="1:47">
      <c r="A4" s="144" t="s">
        <v>303</v>
      </c>
      <c r="B4" s="144"/>
      <c r="C4" s="144"/>
    </row>
    <row r="5" spans="1:47">
      <c r="A5" s="144" t="s">
        <v>108</v>
      </c>
      <c r="B5" s="144"/>
      <c r="C5" s="144"/>
    </row>
    <row r="6" spans="1:47">
      <c r="A6" s="144" t="s">
        <v>109</v>
      </c>
      <c r="B6" s="144"/>
      <c r="C6" s="144"/>
    </row>
    <row r="7" spans="1:47">
      <c r="A7" s="144" t="s">
        <v>110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111</v>
      </c>
      <c r="E9" s="47" t="s">
        <v>112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113</v>
      </c>
      <c r="B10" s="144">
        <f t="array" ref="B10">SUM(B22:F22*B23:F23*B17:F17)</f>
        <v>1.0011843879673066</v>
      </c>
      <c r="C10" s="144" t="s">
        <v>114</v>
      </c>
      <c r="D10" s="48" t="s">
        <v>115</v>
      </c>
      <c r="E10" s="49"/>
      <c r="F10" s="49"/>
      <c r="G10" s="49"/>
      <c r="X10" s="35"/>
      <c r="AN10"/>
      <c r="AS10" s="188" t="s">
        <v>116</v>
      </c>
    </row>
    <row r="11" spans="1:47">
      <c r="A11" s="144" t="s">
        <v>176</v>
      </c>
      <c r="B11" s="145">
        <v>25</v>
      </c>
      <c r="C11" s="146" t="s">
        <v>117</v>
      </c>
      <c r="D11" s="50" t="s">
        <v>118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119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0">
      <c r="B13" s="36" t="s">
        <v>120</v>
      </c>
      <c r="C13" s="36" t="s">
        <v>121</v>
      </c>
      <c r="D13" s="36" t="s">
        <v>122</v>
      </c>
      <c r="E13" s="36" t="s">
        <v>123</v>
      </c>
      <c r="F13" s="36" t="s">
        <v>124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246</v>
      </c>
    </row>
    <row r="14" spans="1:47" s="72" customFormat="1" ht="10">
      <c r="A14" s="35" t="s">
        <v>125</v>
      </c>
      <c r="B14" s="57">
        <v>6.47682</v>
      </c>
      <c r="C14" s="57">
        <v>0</v>
      </c>
      <c r="D14" s="57">
        <v>8.0713100000000004</v>
      </c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247</v>
      </c>
    </row>
    <row r="15" spans="1:47" s="72" customFormat="1" ht="10">
      <c r="A15" s="35" t="s">
        <v>126</v>
      </c>
      <c r="B15" s="57">
        <v>2603.3589999999999</v>
      </c>
      <c r="C15" s="57">
        <v>0</v>
      </c>
      <c r="D15" s="57">
        <v>1730.63</v>
      </c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245</v>
      </c>
    </row>
    <row r="16" spans="1:47" s="72" customFormat="1" ht="10">
      <c r="A16" s="35" t="s">
        <v>127</v>
      </c>
      <c r="B16" s="57">
        <v>321.94900000000001</v>
      </c>
      <c r="C16" s="57">
        <v>0</v>
      </c>
      <c r="D16" s="57">
        <v>233.42599999999999</v>
      </c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244</v>
      </c>
    </row>
    <row r="17" spans="1:49" s="35" customFormat="1" ht="11">
      <c r="A17" s="35" t="s">
        <v>128</v>
      </c>
      <c r="B17" s="57">
        <f>10^(B14-B15/(B16+TC.))</f>
        <v>9.4024636752755228E-2</v>
      </c>
      <c r="C17" s="57">
        <f>10^(C14-C15/(C16+TC.))</f>
        <v>1</v>
      </c>
      <c r="D17" s="57">
        <f>10^(D14-D15/(D16+TC.))</f>
        <v>23.686413553095228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129</v>
      </c>
      <c r="B18" s="191">
        <f>B22*B23*B17/$B$10</f>
        <v>2.173597886941657E-3</v>
      </c>
      <c r="C18" s="191">
        <f>C22*C23*C17/$B$10</f>
        <v>0.99782640167748493</v>
      </c>
      <c r="D18" s="191">
        <f>D22*D23*D17/$B$10</f>
        <v>4.3557349556051152E-10</v>
      </c>
      <c r="E18" s="191">
        <f>E22*E23*E17/$B$10</f>
        <v>3.2362438124389982E-20</v>
      </c>
      <c r="F18" s="191">
        <f>F22*F23*F17/$B$10</f>
        <v>8.0745286033057018E-21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236</v>
      </c>
    </row>
    <row r="19" spans="1:49" s="35" customFormat="1" ht="10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0">
      <c r="B20" s="36">
        <v>1</v>
      </c>
      <c r="C20" s="36">
        <v>2</v>
      </c>
      <c r="D20" s="36">
        <v>3</v>
      </c>
      <c r="E20" s="36" t="s">
        <v>123</v>
      </c>
      <c r="F20" s="36" t="s">
        <v>124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65</v>
      </c>
    </row>
    <row r="21" spans="1:49" s="72" customFormat="1" ht="12">
      <c r="A21" s="35"/>
      <c r="B21" s="53" t="s">
        <v>350</v>
      </c>
      <c r="C21" s="53" t="s">
        <v>80</v>
      </c>
      <c r="D21" s="53" t="s">
        <v>351</v>
      </c>
      <c r="E21" s="54" t="s">
        <v>345</v>
      </c>
      <c r="F21" s="53" t="s">
        <v>344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67</v>
      </c>
    </row>
    <row r="22" spans="1:49" s="72" customFormat="1" ht="14">
      <c r="A22" s="72" t="s">
        <v>83</v>
      </c>
      <c r="B22" s="55">
        <v>1E-3</v>
      </c>
      <c r="C22" s="55">
        <v>0.999</v>
      </c>
      <c r="D22" s="55">
        <v>9.9999999999999994E-12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132</v>
      </c>
      <c r="L22" s="36"/>
      <c r="M22"/>
      <c r="N22"/>
      <c r="O22"/>
      <c r="P22"/>
      <c r="Q22" s="80" t="s">
        <v>133</v>
      </c>
      <c r="R22" s="36"/>
      <c r="S22" s="36"/>
      <c r="T22" s="36"/>
      <c r="U22"/>
      <c r="V22" s="35"/>
      <c r="W22" s="81" t="s">
        <v>134</v>
      </c>
      <c r="X22" s="36"/>
      <c r="Y22" s="35"/>
      <c r="Z22" s="35"/>
      <c r="AA22"/>
      <c r="AB22" s="36"/>
      <c r="AC22" s="81" t="s">
        <v>135</v>
      </c>
      <c r="AD22" s="35"/>
      <c r="AE22" s="35"/>
      <c r="AF22" s="35"/>
      <c r="AG22" s="36"/>
      <c r="AH22" s="36"/>
      <c r="AI22" s="81" t="s">
        <v>136</v>
      </c>
      <c r="AJ22" s="35"/>
      <c r="AK22" s="35"/>
      <c r="AM22"/>
      <c r="AO22" s="72" t="s">
        <v>137</v>
      </c>
      <c r="AS22" s="35"/>
      <c r="AT22" s="35" t="s">
        <v>68</v>
      </c>
    </row>
    <row r="23" spans="1:49" s="72" customFormat="1" ht="11">
      <c r="A23" s="82" t="s">
        <v>138</v>
      </c>
      <c r="B23" s="56">
        <f>EXP(B51-B50+B49)</f>
        <v>23.144702763884325</v>
      </c>
      <c r="C23" s="56">
        <f>EXP(C51-C50+C49)</f>
        <v>1.0000082234845771</v>
      </c>
      <c r="D23" s="56">
        <f>EXP(D51-D50+D49)</f>
        <v>1.841095033614935</v>
      </c>
      <c r="E23" s="56">
        <f>EXP(E51-E50+E49)</f>
        <v>3.2400767806697215</v>
      </c>
      <c r="F23" s="56">
        <f>EXP(F51-F50+F49)</f>
        <v>0.80840919778251308</v>
      </c>
      <c r="G23" s="82" t="s">
        <v>139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140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140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140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140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140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140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0">
      <c r="A24" s="35" t="str">
        <f>'aij-UNIFAC (LLE)'!B10</f>
        <v>CH3</v>
      </c>
      <c r="B24" s="57"/>
      <c r="C24" s="57">
        <v>1</v>
      </c>
      <c r="D24" s="57">
        <v>1</v>
      </c>
      <c r="E24" s="57">
        <v>1</v>
      </c>
      <c r="F24" s="57">
        <v>1</v>
      </c>
      <c r="G24" s="83">
        <f t="array" ref="G24">SUM(B24:F24*$B$22:$F$22)</f>
        <v>0.99900000001</v>
      </c>
      <c r="H24" s="36" t="str">
        <f t="shared" ref="H24:H41" si="0">A24</f>
        <v>CH3</v>
      </c>
      <c r="I24" s="84">
        <f t="shared" ref="I24:M35" si="1">B24/B$43</f>
        <v>0</v>
      </c>
      <c r="J24" s="85">
        <f t="shared" si="1"/>
        <v>0.33333333333333331</v>
      </c>
      <c r="K24" s="85">
        <f t="shared" si="1"/>
        <v>0.33333333333333331</v>
      </c>
      <c r="L24" s="85">
        <f t="shared" si="1"/>
        <v>0.14285714285714285</v>
      </c>
      <c r="M24" s="85">
        <f t="shared" si="1"/>
        <v>1</v>
      </c>
      <c r="N24" s="86">
        <f t="shared" ref="N24:N35" si="2">G24/$G$42</f>
        <v>0.33322214809873363</v>
      </c>
      <c r="O24" s="84">
        <f>I24*'aij-UNIFAC (LLE)'!$D10/I$42</f>
        <v>0</v>
      </c>
      <c r="P24" s="85">
        <f>J24*'aij-UNIFAC (LLE)'!$D10/J$42</f>
        <v>0.2948539638386648</v>
      </c>
      <c r="Q24" s="85">
        <f>K24*'aij-UNIFAC (LLE)'!$D10/K$42</f>
        <v>0.32465543644716688</v>
      </c>
      <c r="R24" s="85">
        <f>L24*'aij-UNIFAC (LLE)'!$D10/L$42</f>
        <v>0.24173318129988591</v>
      </c>
      <c r="S24" s="85">
        <f>M24*'aij-UNIFAC (LLE)'!$D10/M$42</f>
        <v>1</v>
      </c>
      <c r="T24" s="87">
        <f>N24*'aij-UNIFAC (LLE)'!$D10/N$42</f>
        <v>0.29471035900231907</v>
      </c>
      <c r="U24" s="84">
        <f t="array" ref="U24:Z41">MMULT(TRANSPOSE(tauL),O24:T41)</f>
        <v>0.31713896453518281</v>
      </c>
      <c r="V24" s="88">
        <v>0.89648164977223499</v>
      </c>
      <c r="W24" s="85">
        <v>0.5327439110866834</v>
      </c>
      <c r="X24" s="85">
        <v>0.71158633622681877</v>
      </c>
      <c r="Y24" s="88">
        <v>1</v>
      </c>
      <c r="Z24" s="89">
        <v>0.89619948835391827</v>
      </c>
      <c r="AA24" s="90">
        <f t="shared" ref="AA24:AF39" si="3">O24/U24</f>
        <v>0</v>
      </c>
      <c r="AB24" s="91">
        <f t="shared" si="3"/>
        <v>0.32890128193206969</v>
      </c>
      <c r="AC24" s="91">
        <f t="shared" si="3"/>
        <v>0.60940243462368138</v>
      </c>
      <c r="AD24" s="91">
        <f t="shared" si="3"/>
        <v>0.33971026282161954</v>
      </c>
      <c r="AE24" s="91">
        <f t="shared" si="3"/>
        <v>1</v>
      </c>
      <c r="AF24" s="86">
        <f t="shared" si="3"/>
        <v>0.32884459635613511</v>
      </c>
      <c r="AG24" s="84">
        <f t="array" ref="AG24:AL41">MMULT(tauL,AA24:AF41)</f>
        <v>1.2775559273734912E-2</v>
      </c>
      <c r="AH24" s="85">
        <v>0.7103827463712129</v>
      </c>
      <c r="AI24" s="88">
        <v>1.3637568488798411</v>
      </c>
      <c r="AJ24" s="88">
        <v>1.3378907262909103</v>
      </c>
      <c r="AK24" s="88">
        <v>1</v>
      </c>
      <c r="AL24" s="89">
        <v>0.71013956424552482</v>
      </c>
      <c r="AM24" s="92">
        <f>'aij-UNIFAC (LLE)'!$D10*(1-LN(U24)-AG24)</f>
        <v>1.8110224384308249</v>
      </c>
      <c r="AN24" s="93">
        <f>'aij-UNIFAC (LLE)'!$D10*(1-LN(V24)-AH24)</f>
        <v>0.33826271282313775</v>
      </c>
      <c r="AO24" s="93">
        <f>'aij-UNIFAC (LLE)'!$D10*(1-LN(W24)-AI24)</f>
        <v>0.22553203496494176</v>
      </c>
      <c r="AP24" s="93">
        <f>'aij-UNIFAC (LLE)'!$D10*(1-LN(X24)-AJ24)</f>
        <v>2.0078931822006753E-3</v>
      </c>
      <c r="AQ24" s="93">
        <f>'aij-UNIFAC (LLE)'!$D10*(1-LN(Y24)-AK24)</f>
        <v>0</v>
      </c>
      <c r="AR24" s="94">
        <f>'aij-UNIFAC (LLE)'!$D10*(1-LN(Z24)-AL24)</f>
        <v>0.33873587543065908</v>
      </c>
      <c r="AS24" s="35"/>
      <c r="AT24" s="137" t="s">
        <v>230</v>
      </c>
      <c r="AU24" s="198"/>
      <c r="AV24" s="199"/>
      <c r="AW24" s="198"/>
    </row>
    <row r="25" spans="1:49" s="72" customFormat="1" ht="10">
      <c r="A25" s="35" t="str">
        <f>'aij-UNIFAC (LLE)'!B11</f>
        <v>CH2</v>
      </c>
      <c r="B25" s="57"/>
      <c r="C25" s="57">
        <v>1</v>
      </c>
      <c r="D25" s="57">
        <v>1</v>
      </c>
      <c r="E25" s="57"/>
      <c r="F25" s="57"/>
      <c r="G25" s="83">
        <f t="array" ref="G25">SUM(B25:F25*$B$22:$F$22)</f>
        <v>0.99900000001</v>
      </c>
      <c r="H25" s="36" t="str">
        <f t="shared" si="0"/>
        <v>CH2</v>
      </c>
      <c r="I25" s="95">
        <f t="shared" si="1"/>
        <v>0</v>
      </c>
      <c r="J25" s="96">
        <f t="shared" si="1"/>
        <v>0.33333333333333331</v>
      </c>
      <c r="K25" s="96">
        <f t="shared" si="1"/>
        <v>0.33333333333333331</v>
      </c>
      <c r="L25" s="96">
        <f t="shared" si="1"/>
        <v>0</v>
      </c>
      <c r="M25" s="96">
        <f t="shared" si="1"/>
        <v>0</v>
      </c>
      <c r="N25" s="97">
        <f t="shared" si="2"/>
        <v>0.33322214809873363</v>
      </c>
      <c r="O25" s="95">
        <f>I25*'aij-UNIFAC (LLE)'!$D11/I$42</f>
        <v>0</v>
      </c>
      <c r="P25" s="96">
        <f>J25*'aij-UNIFAC (LLE)'!$D11/J$42</f>
        <v>0.18776077885952713</v>
      </c>
      <c r="Q25" s="96">
        <f>K25*'aij-UNIFAC (LLE)'!$D11/K$42</f>
        <v>0.20673813169984687</v>
      </c>
      <c r="R25" s="96">
        <f>L25*'aij-UNIFAC (LLE)'!$D11/L$42</f>
        <v>0</v>
      </c>
      <c r="S25" s="96">
        <f>M25*'aij-UNIFAC (LLE)'!$D11/M$42</f>
        <v>0</v>
      </c>
      <c r="T25" s="98">
        <f>N25*'aij-UNIFAC (LLE)'!$D11/N$42</f>
        <v>0.18766933238355221</v>
      </c>
      <c r="U25" s="95">
        <v>0.31713896453518281</v>
      </c>
      <c r="V25" s="99">
        <v>0.89648164977223499</v>
      </c>
      <c r="W25" s="96">
        <v>0.5327439110866834</v>
      </c>
      <c r="X25" s="96">
        <v>0.71158633622681877</v>
      </c>
      <c r="Y25" s="99">
        <v>1</v>
      </c>
      <c r="Z25" s="100">
        <v>0.89619948835391827</v>
      </c>
      <c r="AA25" s="101">
        <f t="shared" si="3"/>
        <v>0</v>
      </c>
      <c r="AB25" s="102">
        <f t="shared" si="3"/>
        <v>0.20944185406051608</v>
      </c>
      <c r="AC25" s="102">
        <f t="shared" si="3"/>
        <v>0.38806287110470278</v>
      </c>
      <c r="AD25" s="102">
        <f t="shared" si="3"/>
        <v>0</v>
      </c>
      <c r="AE25" s="102">
        <f t="shared" si="3"/>
        <v>0</v>
      </c>
      <c r="AF25" s="97">
        <f t="shared" si="3"/>
        <v>0.20940575711357659</v>
      </c>
      <c r="AG25" s="95">
        <v>1.2775559273734912E-2</v>
      </c>
      <c r="AH25" s="96">
        <v>0.7103827463712129</v>
      </c>
      <c r="AI25" s="99">
        <v>1.3637568488798411</v>
      </c>
      <c r="AJ25" s="99">
        <v>1.3378907262909103</v>
      </c>
      <c r="AK25" s="99">
        <v>1</v>
      </c>
      <c r="AL25" s="100">
        <v>0.71013956424552482</v>
      </c>
      <c r="AM25" s="103">
        <f>'aij-UNIFAC (LLE)'!$D11*(1-LN(U25)-AG25)</f>
        <v>1.1532454206988745</v>
      </c>
      <c r="AN25" s="104">
        <f>'aij-UNIFAC (LLE)'!$D11*(1-LN(V25)-AH25)</f>
        <v>0.21540314259963964</v>
      </c>
      <c r="AO25" s="104">
        <f>'aij-UNIFAC (LLE)'!$D11*(1-LN(W25)-AI25)</f>
        <v>0.14361709773710915</v>
      </c>
      <c r="AP25" s="104">
        <f>'aij-UNIFAC (LLE)'!$D11*(1-LN(X25)-AJ25)</f>
        <v>1.278611224514581E-3</v>
      </c>
      <c r="AQ25" s="104">
        <f>'aij-UNIFAC (LLE)'!$D11*(1-LN(Y25)-AK25)</f>
        <v>0</v>
      </c>
      <c r="AR25" s="105">
        <f>'aij-UNIFAC (LLE)'!$D11*(1-LN(Z25)-AL25)</f>
        <v>0.21570444897707067</v>
      </c>
      <c r="AS25" s="35"/>
      <c r="AT25" s="137" t="s">
        <v>231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0.31713896453518281</v>
      </c>
      <c r="V26" s="99">
        <v>0.89648164977223499</v>
      </c>
      <c r="W26" s="99">
        <v>0.5327439110866834</v>
      </c>
      <c r="X26" s="99">
        <v>0.71158633622681877</v>
      </c>
      <c r="Y26" s="99">
        <v>1</v>
      </c>
      <c r="Z26" s="100">
        <v>0.89619948835391827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1.2775559273734912E-2</v>
      </c>
      <c r="AH26" s="99">
        <v>0.7103827463712129</v>
      </c>
      <c r="AI26" s="99">
        <v>1.3637568488798411</v>
      </c>
      <c r="AJ26" s="99">
        <v>1.3378907262909103</v>
      </c>
      <c r="AK26" s="99">
        <v>1</v>
      </c>
      <c r="AL26" s="100">
        <v>0.71013956424552482</v>
      </c>
      <c r="AM26" s="103">
        <f>'aij-UNIFAC (LLE)'!$D12*(1-LN(U26)-AG26)</f>
        <v>0.48692584429508029</v>
      </c>
      <c r="AN26" s="104">
        <f>'aij-UNIFAC (LLE)'!$D12*(1-LN(V26)-AH26)</f>
        <v>9.094799354207006E-2</v>
      </c>
      <c r="AO26" s="104">
        <f>'aij-UNIFAC (LLE)'!$D12*(1-LN(W26)-AI26)</f>
        <v>6.0638330155668309E-2</v>
      </c>
      <c r="AP26" s="104">
        <f>'aij-UNIFAC (LLE)'!$D12*(1-LN(X26)-AJ26)</f>
        <v>5.3985807257282302E-4</v>
      </c>
      <c r="AQ26" s="104">
        <f>'aij-UNIFAC (LLE)'!$D12*(1-LN(Y26)-AK26)</f>
        <v>0</v>
      </c>
      <c r="AR26" s="105">
        <f>'aij-UNIFAC (LLE)'!$D12*(1-LN(Z26)-AL26)</f>
        <v>9.107521179031873E-2</v>
      </c>
      <c r="AS26" s="35"/>
      <c r="AT26" s="190" t="s">
        <v>232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/>
      <c r="C27" s="57"/>
      <c r="D27" s="57"/>
      <c r="E27" s="57">
        <v>5</v>
      </c>
      <c r="F27" s="57"/>
      <c r="G27" s="83">
        <f t="array" ref="G27">SUM(B27:F27*$B$22:$F$22)</f>
        <v>4.9999999999999999E-20</v>
      </c>
      <c r="H27" s="36" t="str">
        <f t="shared" si="0"/>
        <v>ACH</v>
      </c>
      <c r="I27" s="95">
        <f t="shared" si="1"/>
        <v>0</v>
      </c>
      <c r="J27" s="96">
        <f t="shared" si="1"/>
        <v>0</v>
      </c>
      <c r="K27" s="96">
        <f t="shared" si="1"/>
        <v>0</v>
      </c>
      <c r="L27" s="96">
        <f t="shared" si="1"/>
        <v>0.7142857142857143</v>
      </c>
      <c r="M27" s="96">
        <f t="shared" si="1"/>
        <v>0</v>
      </c>
      <c r="N27" s="97">
        <f t="shared" si="2"/>
        <v>1.6677785189959862E-20</v>
      </c>
      <c r="O27" s="95">
        <f>I27*'aij-UNIFAC (LLE)'!$D13/I$42</f>
        <v>0</v>
      </c>
      <c r="P27" s="96">
        <f>J27*'aij-UNIFAC (LLE)'!$D13/J$42</f>
        <v>0</v>
      </c>
      <c r="Q27" s="96">
        <f>K27*'aij-UNIFAC (LLE)'!$D13/K$42</f>
        <v>0</v>
      </c>
      <c r="R27" s="96">
        <f>L27*'aij-UNIFAC (LLE)'!$D13/L$42</f>
        <v>0.5701254275940707</v>
      </c>
      <c r="S27" s="96">
        <f>M27*'aij-UNIFAC (LLE)'!$D13/M$42</f>
        <v>0</v>
      </c>
      <c r="T27" s="98">
        <f>N27*'aij-UNIFAC (LLE)'!$D13/N$42</f>
        <v>6.9576736878238842E-21</v>
      </c>
      <c r="U27" s="95">
        <v>0.2863967113010697</v>
      </c>
      <c r="V27" s="96">
        <v>1.3820817637164486</v>
      </c>
      <c r="W27" s="96">
        <v>1.1447626922120291</v>
      </c>
      <c r="X27" s="99">
        <v>1.2332293994061172</v>
      </c>
      <c r="Y27" s="99">
        <v>1.4696747042862897</v>
      </c>
      <c r="Z27" s="100">
        <v>1.3815481243801389</v>
      </c>
      <c r="AA27" s="101">
        <f t="shared" si="3"/>
        <v>0</v>
      </c>
      <c r="AB27" s="102">
        <f t="shared" si="3"/>
        <v>0</v>
      </c>
      <c r="AC27" s="102">
        <f t="shared" si="3"/>
        <v>0</v>
      </c>
      <c r="AD27" s="102">
        <f t="shared" si="3"/>
        <v>0.46230281881750823</v>
      </c>
      <c r="AE27" s="102">
        <f t="shared" si="3"/>
        <v>0</v>
      </c>
      <c r="AF27" s="97">
        <f t="shared" si="3"/>
        <v>5.036142835013868E-21</v>
      </c>
      <c r="AG27" s="95">
        <v>5.5997864440543062E-2</v>
      </c>
      <c r="AH27" s="99">
        <v>0.4331025763939797</v>
      </c>
      <c r="AI27" s="99">
        <v>0.71433788360872308</v>
      </c>
      <c r="AJ27" s="99">
        <v>0.78677617042954884</v>
      </c>
      <c r="AK27" s="99">
        <v>0.5916124096015547</v>
      </c>
      <c r="AL27" s="100">
        <v>0.43328681687440485</v>
      </c>
      <c r="AM27" s="103">
        <f>'aij-UNIFAC (LLE)'!$D13*(1-LN(U27)-AG27)</f>
        <v>0.87775178496334361</v>
      </c>
      <c r="AN27" s="104">
        <f>'aij-UNIFAC (LLE)'!$D13*(1-LN(V27)-AH27)</f>
        <v>9.7322614673873209E-2</v>
      </c>
      <c r="AO27" s="104">
        <f>'aij-UNIFAC (LLE)'!$D13*(1-LN(W27)-AI27)</f>
        <v>6.0185902630209932E-2</v>
      </c>
      <c r="AP27" s="104">
        <f>'aij-UNIFAC (LLE)'!$D13*(1-LN(X27)-AJ27)</f>
        <v>1.4350291564633189E-3</v>
      </c>
      <c r="AQ27" s="104">
        <f>'aij-UNIFAC (LLE)'!$D13*(1-LN(Y27)-AK27)</f>
        <v>9.3386014788481297E-3</v>
      </c>
      <c r="AR27" s="105">
        <f>'aij-UNIFAC (LLE)'!$D13*(1-LN(Z27)-AL27)</f>
        <v>9.7403393390297979E-2</v>
      </c>
      <c r="AS27" s="35"/>
      <c r="AT27" s="190" t="s">
        <v>233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/>
      <c r="E28" s="57">
        <v>1</v>
      </c>
      <c r="F28" s="57"/>
      <c r="G28" s="83">
        <f t="array" ref="G28">SUM(B28:F28*$B$22:$F$22)</f>
        <v>9.9999999999999995E-21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</v>
      </c>
      <c r="L28" s="96">
        <f t="shared" si="1"/>
        <v>0.14285714285714285</v>
      </c>
      <c r="M28" s="96">
        <f t="shared" si="1"/>
        <v>0</v>
      </c>
      <c r="N28" s="97">
        <f t="shared" si="2"/>
        <v>3.3355570379919724E-21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</v>
      </c>
      <c r="R28" s="96">
        <f>L28*'aij-UNIFAC (LLE)'!$D14/L$42</f>
        <v>0.18814139110604328</v>
      </c>
      <c r="S28" s="96">
        <f>M28*'aij-UNIFAC (LLE)'!$D14/M$42</f>
        <v>0</v>
      </c>
      <c r="T28" s="98">
        <f>N28*'aij-UNIFAC (LLE)'!$D14/N$42</f>
        <v>2.2960323169818819E-21</v>
      </c>
      <c r="U28" s="95">
        <v>0.50499176955805858</v>
      </c>
      <c r="V28" s="96">
        <v>1.3742811425583064</v>
      </c>
      <c r="W28" s="96">
        <v>1.0692580209530504</v>
      </c>
      <c r="X28" s="99">
        <v>0.87010606614215424</v>
      </c>
      <c r="Y28" s="99">
        <v>1.4741177886932793</v>
      </c>
      <c r="Z28" s="100">
        <v>1.3738577663297007</v>
      </c>
      <c r="AA28" s="101">
        <f t="shared" si="3"/>
        <v>0</v>
      </c>
      <c r="AB28" s="102">
        <f t="shared" si="3"/>
        <v>0</v>
      </c>
      <c r="AC28" s="102">
        <f t="shared" si="3"/>
        <v>0</v>
      </c>
      <c r="AD28" s="102">
        <f t="shared" si="3"/>
        <v>0.21622811106261788</v>
      </c>
      <c r="AE28" s="102">
        <f t="shared" si="3"/>
        <v>0</v>
      </c>
      <c r="AF28" s="97">
        <f t="shared" si="3"/>
        <v>1.6712300015712662E-21</v>
      </c>
      <c r="AG28" s="95">
        <v>5.0639268591451167E-9</v>
      </c>
      <c r="AH28" s="99">
        <v>0.41809525210844134</v>
      </c>
      <c r="AI28" s="99">
        <v>0.89026250870427348</v>
      </c>
      <c r="AJ28" s="99">
        <v>1.2119944291609255</v>
      </c>
      <c r="AK28" s="99">
        <v>0.70457583072813879</v>
      </c>
      <c r="AL28" s="100">
        <v>0.41797538326105932</v>
      </c>
      <c r="AM28" s="103">
        <f>'aij-UNIFAC (LLE)'!$D14*(1-LN(U28)-AG28)</f>
        <v>1.1109206741691282</v>
      </c>
      <c r="AN28" s="104">
        <f>'aij-UNIFAC (LLE)'!$D14*(1-LN(V28)-AH28)</f>
        <v>0.17422281287107297</v>
      </c>
      <c r="AO28" s="104">
        <f>'aij-UNIFAC (LLE)'!$D14*(1-LN(W28)-AI28)</f>
        <v>2.8229864337268117E-2</v>
      </c>
      <c r="AP28" s="104">
        <f>'aij-UNIFAC (LLE)'!$D14*(1-LN(X28)-AJ28)</f>
        <v>-4.8083817871517859E-2</v>
      </c>
      <c r="AQ28" s="104">
        <f>'aij-UNIFAC (LLE)'!$D14*(1-LN(Y28)-AK28)</f>
        <v>-6.1139451265646308E-2</v>
      </c>
      <c r="AR28" s="105">
        <f>'aij-UNIFAC (LLE)'!$D14*(1-LN(Z28)-AL28)</f>
        <v>0.1745052845264721</v>
      </c>
      <c r="AS28" s="35"/>
      <c r="AT28" s="190" t="s">
        <v>234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0.50499176955805858</v>
      </c>
      <c r="V29" s="96">
        <v>1.3742811425583064</v>
      </c>
      <c r="W29" s="96">
        <v>1.0692580209530504</v>
      </c>
      <c r="X29" s="99">
        <v>0.87010606614215424</v>
      </c>
      <c r="Y29" s="99">
        <v>1.4741177886932793</v>
      </c>
      <c r="Z29" s="100">
        <v>1.3738577663297007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5.0639268591451167E-9</v>
      </c>
      <c r="AH29" s="99">
        <v>0.41809525210844134</v>
      </c>
      <c r="AI29" s="99">
        <v>0.89026250870427348</v>
      </c>
      <c r="AJ29" s="99">
        <v>1.2119944291609255</v>
      </c>
      <c r="AK29" s="99">
        <v>0.70457583072813879</v>
      </c>
      <c r="AL29" s="100">
        <v>0.41797538326105932</v>
      </c>
      <c r="AM29" s="103">
        <f>'aij-UNIFAC (LLE)'!$D15*(1-LN(U29)-AG29)</f>
        <v>1.6293503221147212</v>
      </c>
      <c r="AN29" s="104">
        <f>'aij-UNIFAC (LLE)'!$D15*(1-LN(V29)-AH29)</f>
        <v>0.25552679221090696</v>
      </c>
      <c r="AO29" s="104">
        <f>'aij-UNIFAC (LLE)'!$D15*(1-LN(W29)-AI29)</f>
        <v>4.140380102799323E-2</v>
      </c>
      <c r="AP29" s="104">
        <f>'aij-UNIFAC (LLE)'!$D15*(1-LN(X29)-AJ29)</f>
        <v>-7.0522932878226183E-2</v>
      </c>
      <c r="AQ29" s="104">
        <f>'aij-UNIFAC (LLE)'!$D15*(1-LN(Y29)-AK29)</f>
        <v>-8.9671195189614583E-2</v>
      </c>
      <c r="AR29" s="105">
        <f>'aij-UNIFAC (LLE)'!$D15*(1-LN(Z29)-AL29)</f>
        <v>0.25594108397215909</v>
      </c>
      <c r="AS29" s="35"/>
      <c r="AT29" s="190" t="s">
        <v>235</v>
      </c>
      <c r="AU29" s="198"/>
      <c r="AV29" s="198"/>
      <c r="AW29" s="198"/>
    </row>
    <row r="30" spans="1:49" s="72" customFormat="1" ht="10">
      <c r="A30" s="35" t="str">
        <f>'aij-UNIFAC (LLE)'!B16</f>
        <v>OH</v>
      </c>
      <c r="B30" s="57"/>
      <c r="C30" s="57"/>
      <c r="D30" s="57"/>
      <c r="E30" s="57"/>
      <c r="F30" s="57"/>
      <c r="G30" s="83">
        <f t="array" ref="G30">SUM(B30:F30*$B$22:$F$22)</f>
        <v>0</v>
      </c>
      <c r="H30" s="36" t="str">
        <f t="shared" si="0"/>
        <v>OH</v>
      </c>
      <c r="I30" s="95">
        <f t="shared" si="1"/>
        <v>0</v>
      </c>
      <c r="J30" s="96">
        <f t="shared" si="1"/>
        <v>0</v>
      </c>
      <c r="K30" s="96">
        <f t="shared" si="1"/>
        <v>0</v>
      </c>
      <c r="L30" s="96">
        <f t="shared" si="1"/>
        <v>0</v>
      </c>
      <c r="M30" s="96">
        <f t="shared" si="1"/>
        <v>0</v>
      </c>
      <c r="N30" s="97">
        <f t="shared" si="2"/>
        <v>0</v>
      </c>
      <c r="O30" s="95">
        <f>I30*'aij-UNIFAC (LLE)'!$D16/I$42</f>
        <v>0</v>
      </c>
      <c r="P30" s="96">
        <f>J30*'aij-UNIFAC (LLE)'!$D16/J$42</f>
        <v>0</v>
      </c>
      <c r="Q30" s="96">
        <f>K30*'aij-UNIFAC (LLE)'!$D16/K$42</f>
        <v>0</v>
      </c>
      <c r="R30" s="96">
        <f>L30*'aij-UNIFAC (LLE)'!$D16/L$42</f>
        <v>0</v>
      </c>
      <c r="S30" s="96">
        <f>M30*'aij-UNIFAC (LLE)'!$D16/M$42</f>
        <v>0</v>
      </c>
      <c r="T30" s="98">
        <f>N30*'aij-UNIFAC (LLE)'!$D16/N$42</f>
        <v>0</v>
      </c>
      <c r="U30" s="95">
        <v>1.5076190398931841</v>
      </c>
      <c r="V30" s="96">
        <v>0.30626230541641014</v>
      </c>
      <c r="W30" s="96">
        <v>0.37618429251668922</v>
      </c>
      <c r="X30" s="99">
        <v>8.1605881702306565E-2</v>
      </c>
      <c r="Y30" s="99">
        <v>0.11509481710145264</v>
      </c>
      <c r="Z30" s="100">
        <v>0.30684741078692657</v>
      </c>
      <c r="AA30" s="101">
        <f t="shared" si="3"/>
        <v>0</v>
      </c>
      <c r="AB30" s="102">
        <f t="shared" si="3"/>
        <v>0</v>
      </c>
      <c r="AC30" s="102">
        <f t="shared" si="3"/>
        <v>0</v>
      </c>
      <c r="AD30" s="102">
        <f t="shared" si="3"/>
        <v>0</v>
      </c>
      <c r="AE30" s="102">
        <f t="shared" si="3"/>
        <v>0</v>
      </c>
      <c r="AF30" s="97">
        <f t="shared" si="3"/>
        <v>0</v>
      </c>
      <c r="AG30" s="95">
        <v>0.90813621767355412</v>
      </c>
      <c r="AH30" s="99">
        <v>0.84946067786996104</v>
      </c>
      <c r="AI30" s="99">
        <v>1.1604151882840785</v>
      </c>
      <c r="AJ30" s="99">
        <v>0.8051060929079803</v>
      </c>
      <c r="AK30" s="99">
        <v>0.33260882012386883</v>
      </c>
      <c r="AL30" s="100">
        <v>0.85497728300412446</v>
      </c>
      <c r="AM30" s="103">
        <f>'aij-UNIFAC (LLE)'!$D16*(1-LN(U30)-AG30)</f>
        <v>-0.38240139513414123</v>
      </c>
      <c r="AN30" s="104">
        <f>'aij-UNIFAC (LLE)'!$D16*(1-LN(V30)-AH30)</f>
        <v>1.6006231909307143</v>
      </c>
      <c r="AO30" s="104">
        <f>'aij-UNIFAC (LLE)'!$D16*(1-LN(W30)-AI30)</f>
        <v>0.98071311325839805</v>
      </c>
      <c r="AP30" s="104">
        <f>'aij-UNIFAC (LLE)'!$D16*(1-LN(X30)-AJ30)</f>
        <v>3.2408974164198976</v>
      </c>
      <c r="AQ30" s="104">
        <f>'aij-UNIFAC (LLE)'!$D16*(1-LN(Y30)-AK30)</f>
        <v>3.3952682084054411</v>
      </c>
      <c r="AR30" s="105">
        <f>'aij-UNIFAC (LLE)'!$D16*(1-LN(Z30)-AL30)</f>
        <v>1.5917128862641614</v>
      </c>
      <c r="AS30" s="35"/>
      <c r="AT30" s="35"/>
    </row>
    <row r="31" spans="1:49" s="72" customFormat="1" ht="10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0.7033952414758935</v>
      </c>
      <c r="V31" s="96">
        <v>0.96396923034571147</v>
      </c>
      <c r="W31" s="96">
        <v>0.33274183554304171</v>
      </c>
      <c r="X31" s="99">
        <v>0.17648516280611629</v>
      </c>
      <c r="Y31" s="99">
        <v>0.35271570801530017</v>
      </c>
      <c r="Z31" s="100">
        <v>0.96384232112494916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0.98043869766926783</v>
      </c>
      <c r="AH31" s="99">
        <v>1.0941507014254226</v>
      </c>
      <c r="AI31" s="99">
        <v>2.2626130518203071</v>
      </c>
      <c r="AJ31" s="99">
        <v>2.1465046767643616</v>
      </c>
      <c r="AK31" s="99">
        <v>1.5564300475353767</v>
      </c>
      <c r="AL31" s="100">
        <v>1.1006522234787139</v>
      </c>
      <c r="AM31" s="103">
        <f>'aij-UNIFAC (LLE)'!$D17*(1-LN(U31)-AG31)</f>
        <v>1.1602461846509207</v>
      </c>
      <c r="AN31" s="104">
        <f>'aij-UNIFAC (LLE)'!$D17*(1-LN(V31)-AH31)</f>
        <v>-0.17948878837687962</v>
      </c>
      <c r="AO31" s="104">
        <f>'aij-UNIFAC (LLE)'!$D17*(1-LN(W31)-AI31)</f>
        <v>-0.50678994250323073</v>
      </c>
      <c r="AP31" s="104">
        <f>'aij-UNIFAC (LLE)'!$D17*(1-LN(X31)-AJ31)</f>
        <v>1.836955088705291</v>
      </c>
      <c r="AQ31" s="104">
        <f>'aij-UNIFAC (LLE)'!$D17*(1-LN(Y31)-AK31)</f>
        <v>1.5172107706408557</v>
      </c>
      <c r="AR31" s="105">
        <f>'aij-UNIFAC (LLE)'!$D17*(1-LN(Z31)-AL31)</f>
        <v>-0.19938823293770264</v>
      </c>
      <c r="AS31" s="35"/>
      <c r="AT31" s="35"/>
    </row>
    <row r="32" spans="1:49" s="72" customFormat="1" ht="10">
      <c r="A32" s="35" t="str">
        <f>'aij-UNIFAC (LLE)'!B18</f>
        <v>H2O</v>
      </c>
      <c r="B32" s="57">
        <v>1</v>
      </c>
      <c r="C32" s="57"/>
      <c r="D32" s="57"/>
      <c r="E32" s="57"/>
      <c r="F32" s="57"/>
      <c r="G32" s="83">
        <f t="array" ref="G32">SUM(B32:F32*$B$22:$F$22)</f>
        <v>1E-3</v>
      </c>
      <c r="H32" s="36" t="str">
        <f t="shared" si="0"/>
        <v>H2O</v>
      </c>
      <c r="I32" s="95">
        <f t="shared" si="1"/>
        <v>1</v>
      </c>
      <c r="J32" s="96">
        <f t="shared" si="1"/>
        <v>0</v>
      </c>
      <c r="K32" s="96">
        <f t="shared" si="1"/>
        <v>0</v>
      </c>
      <c r="L32" s="96">
        <f t="shared" si="1"/>
        <v>0</v>
      </c>
      <c r="M32" s="96">
        <f t="shared" si="1"/>
        <v>0</v>
      </c>
      <c r="N32" s="97">
        <f t="shared" si="2"/>
        <v>3.3355570379919728E-4</v>
      </c>
      <c r="O32" s="95">
        <f>I32*'aij-UNIFAC (LLE)'!$D18/I$42</f>
        <v>1</v>
      </c>
      <c r="P32" s="96">
        <f>J32*'aij-UNIFAC (LLE)'!$D18/J$42</f>
        <v>0</v>
      </c>
      <c r="Q32" s="96">
        <f>K32*'aij-UNIFAC (LLE)'!$D18/K$42</f>
        <v>0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4.8703715814767194E-4</v>
      </c>
      <c r="U32" s="95">
        <v>1</v>
      </c>
      <c r="V32" s="96">
        <v>6.7703874642585635E-2</v>
      </c>
      <c r="W32" s="96">
        <v>5.9347954262435429E-2</v>
      </c>
      <c r="X32" s="99">
        <v>3.5014083947378864E-2</v>
      </c>
      <c r="Y32" s="99">
        <v>1.2775559273734912E-2</v>
      </c>
      <c r="Z32" s="100">
        <v>6.8157937497955845E-2</v>
      </c>
      <c r="AA32" s="101">
        <f t="shared" si="3"/>
        <v>1</v>
      </c>
      <c r="AB32" s="102">
        <f t="shared" si="3"/>
        <v>0</v>
      </c>
      <c r="AC32" s="102">
        <f t="shared" si="3"/>
        <v>0</v>
      </c>
      <c r="AD32" s="102">
        <f t="shared" si="3"/>
        <v>0</v>
      </c>
      <c r="AE32" s="102">
        <f t="shared" si="3"/>
        <v>0</v>
      </c>
      <c r="AF32" s="97">
        <f t="shared" si="3"/>
        <v>7.1457144395292022E-3</v>
      </c>
      <c r="AG32" s="95">
        <v>1</v>
      </c>
      <c r="AH32" s="99">
        <v>1.6644914123135983</v>
      </c>
      <c r="AI32" s="99">
        <v>3.1039591918257106</v>
      </c>
      <c r="AJ32" s="99">
        <v>0.34933078436147968</v>
      </c>
      <c r="AK32" s="99">
        <v>0.31713896453518281</v>
      </c>
      <c r="AL32" s="100">
        <v>1.669509188277073</v>
      </c>
      <c r="AM32" s="103">
        <f>'aij-UNIFAC (LLE)'!$D18*(1-LN(U32)-AG32)</f>
        <v>0</v>
      </c>
      <c r="AN32" s="104">
        <f>'aij-UNIFAC (LLE)'!$D18*(1-LN(V32)-AH32)</f>
        <v>2.8393686381949399</v>
      </c>
      <c r="AO32" s="104">
        <f>'aij-UNIFAC (LLE)'!$D18*(1-LN(W32)-AI32)</f>
        <v>1.0085298100297053</v>
      </c>
      <c r="AP32" s="104">
        <f>'aij-UNIFAC (LLE)'!$D18*(1-LN(X32)-AJ32)</f>
        <v>5.6037437618053731</v>
      </c>
      <c r="AQ32" s="104">
        <f>'aij-UNIFAC (LLE)'!$D18*(1-LN(Y32)-AK32)</f>
        <v>7.060315360769307</v>
      </c>
      <c r="AR32" s="105">
        <f>'aij-UNIFAC (LLE)'!$D18*(1-LN(Z32)-AL32)</f>
        <v>2.8229858556968979</v>
      </c>
      <c r="AS32" s="35"/>
      <c r="AT32" s="35" t="s">
        <v>88</v>
      </c>
    </row>
    <row r="33" spans="1:46" s="72" customFormat="1" ht="12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0.31491306519734752</v>
      </c>
      <c r="V33" s="96">
        <v>3.4770557705487555</v>
      </c>
      <c r="W33" s="96">
        <v>0.4688823077589207</v>
      </c>
      <c r="X33" s="99">
        <v>7.2898669156508833E-2</v>
      </c>
      <c r="Y33" s="99">
        <v>5.1915552327153427E-4</v>
      </c>
      <c r="Z33" s="100">
        <v>3.4755156895245483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7.37914953953213</v>
      </c>
      <c r="AH33" s="99">
        <v>14.309830243702031</v>
      </c>
      <c r="AI33" s="99">
        <v>2.2894065027953725</v>
      </c>
      <c r="AJ33" s="99">
        <v>3.8884972315996258</v>
      </c>
      <c r="AK33" s="99">
        <v>1.7091083918547825</v>
      </c>
      <c r="AL33" s="100">
        <v>14.343590362150278</v>
      </c>
      <c r="AM33" s="103">
        <f>'aij-UNIFAC (LLE)'!$D19*(1-LN(U33)-AG33)</f>
        <v>-3.5521097968935873</v>
      </c>
      <c r="AN33" s="104">
        <f>'aij-UNIFAC (LLE)'!$D19*(1-LN(V33)-AH33)</f>
        <v>-9.8980909727835051</v>
      </c>
      <c r="AO33" s="104">
        <f>'aij-UNIFAC (LLE)'!$D19*(1-LN(W33)-AI33)</f>
        <v>-0.36176205211986678</v>
      </c>
      <c r="AP33" s="104">
        <f>'aij-UNIFAC (LLE)'!$D19*(1-LN(X33)-AJ33)</f>
        <v>-0.18347238829289353</v>
      </c>
      <c r="AQ33" s="104">
        <f>'aij-UNIFAC (LLE)'!$D19*(1-LN(Y33)-AK33)</f>
        <v>4.6608550944778742</v>
      </c>
      <c r="AR33" s="105">
        <f>'aij-UNIFAC (LLE)'!$D19*(1-LN(Z33)-AL33)</f>
        <v>-9.920746596413629</v>
      </c>
      <c r="AS33" s="5"/>
      <c r="AT33" s="35" t="s">
        <v>89</v>
      </c>
    </row>
    <row r="34" spans="1:46" s="72" customFormat="1" ht="12">
      <c r="A34" s="35" t="str">
        <f>'aij-UNIFAC (LLE)'!B20</f>
        <v>CH3CO</v>
      </c>
      <c r="B34" s="57"/>
      <c r="C34" s="57">
        <v>1</v>
      </c>
      <c r="D34" s="57"/>
      <c r="E34" s="57"/>
      <c r="F34" s="57"/>
      <c r="G34" s="83">
        <f t="array" ref="G34">SUM(B34:F34*$B$22:$F$22)</f>
        <v>0.999</v>
      </c>
      <c r="H34" s="36" t="str">
        <f t="shared" si="0"/>
        <v>CH3CO</v>
      </c>
      <c r="I34" s="95">
        <f t="shared" si="1"/>
        <v>0</v>
      </c>
      <c r="J34" s="96">
        <f t="shared" si="1"/>
        <v>0.33333333333333331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0.33322214809539807</v>
      </c>
      <c r="O34" s="95">
        <f>I34*'aij-UNIFAC (LLE)'!$D20/I$42</f>
        <v>0</v>
      </c>
      <c r="P34" s="96">
        <f>J34*'aij-UNIFAC (LLE)'!$D20/J$42</f>
        <v>0.51738525730180818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0.51713327145172294</v>
      </c>
      <c r="U34" s="95">
        <v>1.7792999910100182</v>
      </c>
      <c r="V34" s="96">
        <v>0.61628538543171341</v>
      </c>
      <c r="W34" s="96">
        <v>0.76710687502833763</v>
      </c>
      <c r="X34" s="99">
        <v>0.13606462881294015</v>
      </c>
      <c r="Y34" s="99">
        <v>0.20492562572161924</v>
      </c>
      <c r="Z34" s="100">
        <v>0.61685181676146894</v>
      </c>
      <c r="AA34" s="101">
        <f t="shared" si="3"/>
        <v>0</v>
      </c>
      <c r="AB34" s="102">
        <f t="shared" si="3"/>
        <v>0.8395221913941302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0.83834278735972945</v>
      </c>
      <c r="AG34" s="95">
        <v>0.11894077096783076</v>
      </c>
      <c r="AH34" s="99">
        <v>1.2701537285193256</v>
      </c>
      <c r="AI34" s="99">
        <v>0.80681463234441664</v>
      </c>
      <c r="AJ34" s="99">
        <v>1.1499298261051696</v>
      </c>
      <c r="AK34" s="99">
        <v>0.79992017791999159</v>
      </c>
      <c r="AL34" s="100">
        <v>1.2697500226574812</v>
      </c>
      <c r="AM34" s="103">
        <f>'aij-UNIFAC (LLE)'!$D20*(1-LN(U34)-AG34)</f>
        <v>0.45360073786443261</v>
      </c>
      <c r="AN34" s="104">
        <f>'aij-UNIFAC (LLE)'!$D20*(1-LN(V34)-AH34)</f>
        <v>0.31827041238924009</v>
      </c>
      <c r="AO34" s="104">
        <f>'aij-UNIFAC (LLE)'!$D20*(1-LN(W34)-AI34)</f>
        <v>0.68197199586487178</v>
      </c>
      <c r="AP34" s="104">
        <f>'aij-UNIFAC (LLE)'!$D20*(1-LN(X34)-AJ34)</f>
        <v>2.7449068566197856</v>
      </c>
      <c r="AQ34" s="104">
        <f>'aij-UNIFAC (LLE)'!$D20*(1-LN(Y34)-AK34)</f>
        <v>2.6563597277957203</v>
      </c>
      <c r="AR34" s="105">
        <f>'aij-UNIFAC (LLE)'!$D20*(1-LN(Z34)-AL34)</f>
        <v>0.31750412573812159</v>
      </c>
      <c r="AS34" s="5"/>
      <c r="AT34" s="35" t="s">
        <v>91</v>
      </c>
    </row>
    <row r="35" spans="1:46" s="72" customFormat="1" ht="12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3.233516842020296</v>
      </c>
      <c r="V35" s="96">
        <v>0.87044651108156679</v>
      </c>
      <c r="W35" s="96">
        <v>0.3264967788884946</v>
      </c>
      <c r="X35" s="99">
        <v>0.31454629529400052</v>
      </c>
      <c r="Y35" s="99">
        <v>0.58844606877609129</v>
      </c>
      <c r="Z35" s="100">
        <v>0.87159741413510727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0.12345234716243569</v>
      </c>
      <c r="AH35" s="99">
        <v>0.87628755299497296</v>
      </c>
      <c r="AI35" s="99">
        <v>1.1942216335710611</v>
      </c>
      <c r="AJ35" s="99">
        <v>0.90551990326550535</v>
      </c>
      <c r="AK35" s="99">
        <v>0.61261303839653836</v>
      </c>
      <c r="AL35" s="100">
        <v>0.87634512898515071</v>
      </c>
      <c r="AM35" s="103">
        <f>'aij-UNIFAC (LLE)'!$D21*(1-LN(U35)-AG35)</f>
        <v>-0.28157751737898118</v>
      </c>
      <c r="AN35" s="104">
        <f>'aij-UNIFAC (LLE)'!$D21*(1-LN(V35)-AH35)</f>
        <v>0.24881342129519302</v>
      </c>
      <c r="AO35" s="104">
        <f>'aij-UNIFAC (LLE)'!$D21*(1-LN(W35)-AI35)</f>
        <v>0.8770076570813875</v>
      </c>
      <c r="AP35" s="104">
        <f>'aij-UNIFAC (LLE)'!$D21*(1-LN(X35)-AJ35)</f>
        <v>1.186046693973329</v>
      </c>
      <c r="AQ35" s="104">
        <f>'aij-UNIFAC (LLE)'!$D21*(1-LN(Y35)-AK35)</f>
        <v>0.86993879801027796</v>
      </c>
      <c r="AR35" s="105">
        <f>'aij-UNIFAC (LLE)'!$D21*(1-LN(Z35)-AL35)</f>
        <v>0.24750622301910372</v>
      </c>
      <c r="AS35" s="5"/>
      <c r="AT35" s="35" t="s">
        <v>92</v>
      </c>
    </row>
    <row r="36" spans="1:46" s="72" customFormat="1" ht="12">
      <c r="A36" s="35" t="str">
        <f>'aij-UNIFAC (LLE)'!B22</f>
        <v>COOH</v>
      </c>
      <c r="B36" s="57"/>
      <c r="C36" s="57"/>
      <c r="D36" s="57">
        <v>1</v>
      </c>
      <c r="E36" s="57"/>
      <c r="F36" s="57"/>
      <c r="G36" s="83">
        <f t="array" ref="G36">SUM(B36:F36*$B$22:$F$22)</f>
        <v>9.9999999999999994E-12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0.33333333333333331</v>
      </c>
      <c r="L36" s="96">
        <f t="shared" si="4"/>
        <v>0</v>
      </c>
      <c r="M36" s="96">
        <f t="shared" si="4"/>
        <v>0</v>
      </c>
      <c r="N36" s="97">
        <f t="shared" ref="N36:N41" si="5">G36/$G$42</f>
        <v>3.3355570379919724E-12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0.46860643185298623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4.2580962969482178E-12</v>
      </c>
      <c r="U36" s="95">
        <v>4.7681836853391824</v>
      </c>
      <c r="V36" s="96">
        <v>0.31027104103102338</v>
      </c>
      <c r="W36" s="96">
        <v>0.80154335053825343</v>
      </c>
      <c r="X36" s="99">
        <v>0.33292844711013897</v>
      </c>
      <c r="Y36" s="99">
        <v>0.62653546945671312</v>
      </c>
      <c r="Z36" s="100">
        <v>0.31244221014104184</v>
      </c>
      <c r="AA36" s="101">
        <f t="shared" si="3"/>
        <v>0</v>
      </c>
      <c r="AB36" s="102">
        <f t="shared" si="3"/>
        <v>0</v>
      </c>
      <c r="AC36" s="102">
        <f t="shared" si="3"/>
        <v>0.58463017819099494</v>
      </c>
      <c r="AD36" s="102">
        <f t="shared" si="3"/>
        <v>0</v>
      </c>
      <c r="AE36" s="102">
        <f t="shared" si="3"/>
        <v>0</v>
      </c>
      <c r="AF36" s="97">
        <f t="shared" si="3"/>
        <v>1.3628428422094566E-11</v>
      </c>
      <c r="AG36" s="95">
        <v>0.11216044139014483</v>
      </c>
      <c r="AH36" s="99">
        <v>1.1807551338987317</v>
      </c>
      <c r="AI36" s="99">
        <v>0.58750448836174884</v>
      </c>
      <c r="AJ36" s="99">
        <v>0.49180440802319614</v>
      </c>
      <c r="AK36" s="99">
        <v>2.8816141817132788E-3</v>
      </c>
      <c r="AL36" s="100">
        <v>1.1798997267212759</v>
      </c>
      <c r="AM36" s="103">
        <f>'aij-UNIFAC (LLE)'!$D22*(1-LN(U36)-AG36)</f>
        <v>-0.82513009550554195</v>
      </c>
      <c r="AN36" s="104">
        <f>'aij-UNIFAC (LLE)'!$D22*(1-LN(V36)-AH36)</f>
        <v>1.2112139781262736</v>
      </c>
      <c r="AO36" s="104">
        <f>'aij-UNIFAC (LLE)'!$D22*(1-LN(W36)-AI36)</f>
        <v>0.77566316152648873</v>
      </c>
      <c r="AP36" s="104">
        <f>'aij-UNIFAC (LLE)'!$D22*(1-LN(X36)-AJ36)</f>
        <v>1.9682204917949466</v>
      </c>
      <c r="AQ36" s="104">
        <f>'aij-UNIFAC (LLE)'!$D22*(1-LN(Y36)-AK36)</f>
        <v>1.7927539708188094</v>
      </c>
      <c r="AR36" s="105">
        <f>'aij-UNIFAC (LLE)'!$D22*(1-LN(Z36)-AL36)</f>
        <v>1.203725697946757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1.0214236442902456</v>
      </c>
      <c r="V37" s="96">
        <v>0.23576198450975219</v>
      </c>
      <c r="W37" s="96">
        <v>0.71556710664397005</v>
      </c>
      <c r="X37" s="99">
        <v>0.56803318687010551</v>
      </c>
      <c r="Y37" s="99">
        <v>3.8332944566444621E-2</v>
      </c>
      <c r="Z37" s="100">
        <v>0.23614463093615706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0.27408556450075916</v>
      </c>
      <c r="AH37" s="99">
        <v>2.2643336613466358</v>
      </c>
      <c r="AI37" s="99">
        <v>2.9235825328442409</v>
      </c>
      <c r="AJ37" s="99">
        <v>1.6909569457299176</v>
      </c>
      <c r="AK37" s="99">
        <v>2.9259542322852581</v>
      </c>
      <c r="AL37" s="100">
        <v>2.2650525447989827</v>
      </c>
      <c r="AM37" s="103">
        <f>'aij-UNIFAC (LLE)'!$D23*(1-LN(U37)-AG37)</f>
        <v>1.2177510652201995</v>
      </c>
      <c r="AN37" s="104">
        <f>'aij-UNIFAC (LLE)'!$D23*(1-LN(V37)-AH37)</f>
        <v>0.31207483308964307</v>
      </c>
      <c r="AO37" s="104">
        <f>'aij-UNIFAC (LLE)'!$D23*(1-LN(W37)-AI37)</f>
        <v>-2.7456237590159471</v>
      </c>
      <c r="AP37" s="104">
        <f>'aij-UNIFAC (LLE)'!$D23*(1-LN(X37)-AJ37)</f>
        <v>-0.21665925161335459</v>
      </c>
      <c r="AQ37" s="104">
        <f>'aij-UNIFAC (LLE)'!$D23*(1-LN(Y37)-AK37)</f>
        <v>2.3077290507230974</v>
      </c>
      <c r="AR37" s="105">
        <f>'aij-UNIFAC (LLE)'!$D23*(1-LN(Z37)-AL37)</f>
        <v>0.30803029733251386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0.80568233560535418</v>
      </c>
      <c r="V38" s="96">
        <v>0.56081640250497333</v>
      </c>
      <c r="W38" s="96">
        <v>0.70563370700550954</v>
      </c>
      <c r="X38" s="99">
        <v>0.63016099604652698</v>
      </c>
      <c r="Y38" s="99">
        <v>0.10853372971080172</v>
      </c>
      <c r="Z38" s="100">
        <v>0.56093566131447348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0.4898114796574779</v>
      </c>
      <c r="AH38" s="99">
        <v>0.7070327093579295</v>
      </c>
      <c r="AI38" s="99">
        <v>1.0439878405031553E-2</v>
      </c>
      <c r="AJ38" s="99">
        <v>0.56336303611176775</v>
      </c>
      <c r="AK38" s="99">
        <v>5.1479339534634396E-3</v>
      </c>
      <c r="AL38" s="100">
        <v>0.70954290204181447</v>
      </c>
      <c r="AM38" s="103">
        <f>'aij-UNIFAC (LLE)'!$D24*(1-LN(U38)-AG38)</f>
        <v>0.5664783220704207</v>
      </c>
      <c r="AN38" s="104">
        <f>'aij-UNIFAC (LLE)'!$D24*(1-LN(V38)-AH38)</f>
        <v>0.67963660902347767</v>
      </c>
      <c r="AO38" s="104">
        <f>'aij-UNIFAC (LLE)'!$D24*(1-LN(W38)-AI38)</f>
        <v>1.0438109185343498</v>
      </c>
      <c r="AP38" s="104">
        <f>'aij-UNIFAC (LLE)'!$D24*(1-LN(X38)-AJ38)</f>
        <v>0.700765187344361</v>
      </c>
      <c r="AQ38" s="104">
        <f>'aij-UNIFAC (LLE)'!$D24*(1-LN(Y38)-AK38)</f>
        <v>2.5081261510098423</v>
      </c>
      <c r="AR38" s="105">
        <f>'aij-UNIFAC (LLE)'!$D24*(1-LN(Z38)-AL38)</f>
        <v>0.67751280769261957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0.28842104855631745</v>
      </c>
      <c r="V39" s="96">
        <v>2.5135432108436015</v>
      </c>
      <c r="W39" s="96">
        <v>1.2059028302578989</v>
      </c>
      <c r="X39" s="99">
        <v>1.3060497894358567</v>
      </c>
      <c r="Y39" s="99">
        <v>2.2660644591285211</v>
      </c>
      <c r="Z39" s="100">
        <v>2.5124594936572668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8.3466179238351382E-2</v>
      </c>
      <c r="AH39" s="99">
        <v>0.62268936364154026</v>
      </c>
      <c r="AI39" s="99">
        <v>1.0430429270683939</v>
      </c>
      <c r="AJ39" s="99">
        <v>0.98789414114954543</v>
      </c>
      <c r="AK39" s="99">
        <v>0.91066783999947831</v>
      </c>
      <c r="AL39" s="100">
        <v>0.62301523992644436</v>
      </c>
      <c r="AM39" s="103">
        <f>'aij-UNIFAC (LLE)'!$D25*(1-LN(U39)-AG39)</f>
        <v>3.6372172288565623</v>
      </c>
      <c r="AN39" s="104">
        <f>'aij-UNIFAC (LLE)'!$D25*(1-LN(V39)-AH39)</f>
        <v>-0.91674056640453072</v>
      </c>
      <c r="AO39" s="104">
        <f>'aij-UNIFAC (LLE)'!$D25*(1-LN(W39)-AI39)</f>
        <v>-0.38777712213989618</v>
      </c>
      <c r="AP39" s="104">
        <f>'aij-UNIFAC (LLE)'!$D25*(1-LN(X39)-AJ39)</f>
        <v>-0.42925378059141678</v>
      </c>
      <c r="AQ39" s="104">
        <f>'aij-UNIFAC (LLE)'!$D25*(1-LN(Y39)-AK39)</f>
        <v>-1.2271517631360123</v>
      </c>
      <c r="AR39" s="105">
        <f>'aij-UNIFAC (LLE)'!$D25*(1-LN(Z39)-AL39)</f>
        <v>-0.91656312687211117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0.30218584686982602</v>
      </c>
      <c r="V40" s="96">
        <v>0.96758419129831608</v>
      </c>
      <c r="W40" s="96">
        <v>0.91691619168731142</v>
      </c>
      <c r="X40" s="99">
        <v>1.6726635807210728</v>
      </c>
      <c r="Y40" s="99">
        <v>0.97515863050911167</v>
      </c>
      <c r="Z40" s="100">
        <v>0.96726011757914887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6.9919839998489608E-2</v>
      </c>
      <c r="AH40" s="99">
        <v>13.891086416940478</v>
      </c>
      <c r="AI40" s="99">
        <v>1.097699160913004</v>
      </c>
      <c r="AJ40" s="99">
        <v>0.68520511963140052</v>
      </c>
      <c r="AK40" s="99">
        <v>0.93127024594904473</v>
      </c>
      <c r="AL40" s="100">
        <v>13.872689036958803</v>
      </c>
      <c r="AM40" s="103">
        <f>'aij-UNIFAC (LLE)'!$D26*(1-LN(U40)-AG40)</f>
        <v>4.6449164009878237</v>
      </c>
      <c r="AN40" s="104">
        <f>'aij-UNIFAC (LLE)'!$D26*(1-LN(V40)-AH40)</f>
        <v>-28.082163735457307</v>
      </c>
      <c r="AO40" s="104">
        <f>'aij-UNIFAC (LLE)'!$D26*(1-LN(W40)-AI40)</f>
        <v>-2.3936543892263337E-2</v>
      </c>
      <c r="AP40" s="104">
        <f>'aij-UNIFAC (LLE)'!$D26*(1-LN(X40)-AJ40)</f>
        <v>-0.4359753958127468</v>
      </c>
      <c r="AQ40" s="104">
        <f>'aij-UNIFAC (LLE)'!$D26*(1-LN(Y40)-AK40)</f>
        <v>0.20504457204735332</v>
      </c>
      <c r="AR40" s="105">
        <f>'aij-UNIFAC (LLE)'!$D26*(1-LN(Z40)-AL40)</f>
        <v>-28.041252246247122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1.4452336507704617</v>
      </c>
      <c r="V41" s="108">
        <v>4.0894485001092669E-2</v>
      </c>
      <c r="W41" s="108">
        <v>4.5655595812408183E-2</v>
      </c>
      <c r="X41" s="111">
        <v>0.59734490828245557</v>
      </c>
      <c r="Y41" s="111">
        <v>4.8509596852346293E-2</v>
      </c>
      <c r="Z41" s="112">
        <v>4.1578450357507714E-2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2.2351160285015359</v>
      </c>
      <c r="AH41" s="111">
        <v>0.34580717293798408</v>
      </c>
      <c r="AI41" s="111">
        <v>0.61259828440755737</v>
      </c>
      <c r="AJ41" s="111">
        <v>1.3794246318612051</v>
      </c>
      <c r="AK41" s="111">
        <v>0.55452904712035056</v>
      </c>
      <c r="AL41" s="112">
        <v>0.36166080145926538</v>
      </c>
      <c r="AM41" s="115">
        <f>'aij-UNIFAC (LLE)'!$D27*(1-LN(U41)-AG41)</f>
        <v>-1.3083638189520377</v>
      </c>
      <c r="AN41" s="116">
        <f>'aij-UNIFAC (LLE)'!$D27*(1-LN(V41)-AH41)</f>
        <v>3.1423775607992588</v>
      </c>
      <c r="AO41" s="116">
        <f>'aij-UNIFAC (LLE)'!$D27*(1-LN(W41)-AI41)</f>
        <v>2.8348091444446197</v>
      </c>
      <c r="AP41" s="116">
        <f>'aij-UNIFAC (LLE)'!$D27*(1-LN(X41)-AJ41)</f>
        <v>0.11084214722531643</v>
      </c>
      <c r="AQ41" s="116">
        <f>'aij-UNIFAC (LLE)'!$D27*(1-LN(Y41)-AK41)</f>
        <v>2.8327150974827133</v>
      </c>
      <c r="AR41" s="117">
        <f>'aij-UNIFAC (LLE)'!$D27*(1-LN(Z41)-AL41)</f>
        <v>3.1159061712170018</v>
      </c>
      <c r="AS41" s="5"/>
      <c r="AT41" s="5"/>
    </row>
    <row r="42" spans="1:46">
      <c r="A42" s="82" t="s">
        <v>141</v>
      </c>
      <c r="B42" s="83">
        <f>B22*SUM(B24:B41)</f>
        <v>1E-3</v>
      </c>
      <c r="C42" s="83">
        <f>C22*SUM(C24:C41)</f>
        <v>2.9969999999999999</v>
      </c>
      <c r="D42" s="83">
        <f>D22*SUM(D24:D41)</f>
        <v>3E-11</v>
      </c>
      <c r="E42" s="83">
        <f>E22*SUM(E24:E41)</f>
        <v>7.0000000000000001E-20</v>
      </c>
      <c r="F42" s="83">
        <f>F22*SUM(F24:F41)</f>
        <v>9.9999999999999995E-21</v>
      </c>
      <c r="G42" s="83">
        <f>SUM(B42:F42)</f>
        <v>2.9980000000299998</v>
      </c>
      <c r="H42" s="118" t="s">
        <v>142</v>
      </c>
      <c r="I42" s="36">
        <f t="array" ref="I42">SUM(I24:I41*_QL)</f>
        <v>1.4</v>
      </c>
      <c r="J42" s="36">
        <f t="array" ref="J42">SUM(J24:J41*_QL)</f>
        <v>0.95866666666666656</v>
      </c>
      <c r="K42" s="36">
        <f t="array" ref="K42">SUM(K24:K41*_QL)</f>
        <v>0.87066666666666659</v>
      </c>
      <c r="L42" s="36">
        <f t="array" ref="L42">SUM(L24:L41*_QL)</f>
        <v>0.50114285714285722</v>
      </c>
      <c r="M42" s="36">
        <f t="array" ref="M42">SUM(M24:M41*_QL)</f>
        <v>0.84799999999999998</v>
      </c>
      <c r="N42" s="36">
        <f t="array" ref="N42">SUM(N24:N41*_QL)</f>
        <v>0.95881387591639622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143</v>
      </c>
      <c r="B43" s="119">
        <f>SUM(B24:B41)</f>
        <v>1</v>
      </c>
      <c r="C43" s="119">
        <f>SUM(C24:C41)</f>
        <v>3</v>
      </c>
      <c r="D43" s="119">
        <f>SUM(D24:D41)</f>
        <v>3</v>
      </c>
      <c r="E43" s="119">
        <f>SUM(E24:E41)</f>
        <v>7</v>
      </c>
      <c r="F43" s="119">
        <f>SUM(F24:F41)</f>
        <v>1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1.4</v>
      </c>
      <c r="C45" s="58">
        <f t="array" ref="C45">SUM(C24:C41*_QL)</f>
        <v>2.8759999999999999</v>
      </c>
      <c r="D45" s="58">
        <f t="array" ref="D45">SUM(D24:D41*_QL)</f>
        <v>2.6120000000000001</v>
      </c>
      <c r="E45" s="58">
        <f t="array" ref="E45">SUM(E24:E41*_QL)</f>
        <v>3.508</v>
      </c>
      <c r="F45" s="58">
        <f t="array" ref="F45">SUM(F24:F41*_QL)</f>
        <v>0.84799999999999998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0.92</v>
      </c>
      <c r="C46" s="58">
        <f t="array" ref="C46">SUM(C24:C41*_RL)</f>
        <v>3.2479</v>
      </c>
      <c r="D46" s="58">
        <f t="array" ref="D46">SUM(D24:D41*_RL)</f>
        <v>2.8767999999999998</v>
      </c>
      <c r="E46" s="58">
        <f t="array" ref="E46">SUM(E24:E41*_RL)</f>
        <v>4.5972</v>
      </c>
      <c r="F46" s="58">
        <f t="array" ref="F46">SUM(F24:F41*_RL)</f>
        <v>0.90110000000000001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144</v>
      </c>
      <c r="B47" s="58">
        <f>B22*B45/SUMPRODUCT($B45:$F45,$B22:$F22)</f>
        <v>4.8703715814767199E-4</v>
      </c>
      <c r="C47" s="58">
        <f>C22*C45/SUMPRODUCT($B45:$F45,$B22:$F22)</f>
        <v>0.99951296283276569</v>
      </c>
      <c r="D47" s="58">
        <f>D22*D45/SUMPRODUCT($B45:$F45,$B22:$F22)</f>
        <v>9.0867218362979944E-12</v>
      </c>
      <c r="E47" s="58">
        <f>E22*E45/SUMPRODUCT($B45:$F45,$B22:$F22)</f>
        <v>1.2203759648443096E-20</v>
      </c>
      <c r="F47" s="58">
        <f>F22*F45/SUMPRODUCT($B45:$F45,$B22:$F22)</f>
        <v>2.9500536436373277E-21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145</v>
      </c>
      <c r="B48" s="58">
        <f>B22*B46/SUMPRODUCT($B46:$F46,$B22:$F22)</f>
        <v>2.8346312195370589E-4</v>
      </c>
      <c r="C48" s="58">
        <f>C22*C46/SUMPRODUCT($B46:$F46,$B22:$F22)</f>
        <v>0.9997165368691826</v>
      </c>
      <c r="D48" s="58">
        <f>D22*D46/SUMPRODUCT($B46:$F46,$B22:$F22)</f>
        <v>8.8637685786567497E-12</v>
      </c>
      <c r="E48" s="58">
        <f>E22*E46/SUMPRODUCT($B46:$F46,$B22:$F22)</f>
        <v>1.416452895919105E-20</v>
      </c>
      <c r="F48" s="58">
        <f>F22*F46/SUMPRODUCT($B46:$F46,$B22:$F22)</f>
        <v>2.7763980347009168E-21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146</v>
      </c>
      <c r="B49" s="58">
        <f>LN(B48/B22)+(1-B48/B22)-5*B45*(LN(B48/B47)+(1-B48/B47))</f>
        <v>0.31878007635711625</v>
      </c>
      <c r="C49" s="58">
        <f>LN(C48/C22)+(1-C48/C22)-5*C45*(LN(C48/C47)+(1-C48/C47))</f>
        <v>4.1116930523439754E-8</v>
      </c>
      <c r="D49" s="58">
        <f>LN(D48/D22)+(1-D48/D22)-5*D45*(LN(D48/D47)+(1-D48/D47))</f>
        <v>-2.9932065582378119E-3</v>
      </c>
      <c r="E49" s="58">
        <f>LN(E48/E22)+(1-E48/E22)-5*E45*(LN(E48/E47)+(1-E48/E47))</f>
        <v>0.13643812144539788</v>
      </c>
      <c r="F49" s="58">
        <f>LN(F48/F22)+(1-F48/F22)-5*F45*(LN(F48/F47)+(1-F48/F47))</f>
        <v>-0.55142279118641235</v>
      </c>
      <c r="G49" s="121"/>
      <c r="I49" s="122"/>
    </row>
    <row r="50" spans="1:9">
      <c r="A50" s="72" t="s">
        <v>147</v>
      </c>
      <c r="B50" s="58">
        <f t="array" ref="B50">SUM(B24:B36*AM24:AM36)</f>
        <v>0</v>
      </c>
      <c r="C50" s="58">
        <f t="array" ref="C50">SUM(C24:C36*AN24:AN36)</f>
        <v>0.8719362678120175</v>
      </c>
      <c r="D50" s="58">
        <f t="array" ref="D50">SUM(D24:D36*AO24:AO36)</f>
        <v>1.1448122942285397</v>
      </c>
      <c r="E50" s="58">
        <f t="array" ref="E50">SUM(E24:E36*AP24:AP36)</f>
        <v>-3.890077890700059E-2</v>
      </c>
      <c r="F50" s="58">
        <f t="array" ref="F50">SUM(F24:F36*AQ24:AQ36)</f>
        <v>0</v>
      </c>
      <c r="G50" s="121"/>
    </row>
    <row r="51" spans="1:9">
      <c r="A51" s="72" t="s">
        <v>148</v>
      </c>
      <c r="B51" s="58">
        <f t="array" ref="B51">SUM(B24:B36*$AR24:$AR36)</f>
        <v>2.8229858556968979</v>
      </c>
      <c r="C51" s="58">
        <f t="array" ref="C51">SUM(C24:C36*$AR24:$AR36)</f>
        <v>0.87194445014585131</v>
      </c>
      <c r="D51" s="58">
        <f t="array" ref="D51">SUM(D24:D36*$AR24:$AR36)</f>
        <v>1.7581660223544868</v>
      </c>
      <c r="E51" s="58">
        <f t="array" ref="E51">SUM(E24:E36*$AR24:$AR36)</f>
        <v>1.000258126908621</v>
      </c>
      <c r="F51" s="58">
        <f t="array" ref="F51">SUM(F24:F36*$AR24:$AR36)</f>
        <v>0.33873587543065908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 enableFormatConditionsCalculation="0">
    <pageSetUpPr fitToPage="1"/>
  </sheetPr>
  <dimension ref="A1:AV50"/>
  <sheetViews>
    <sheetView showGridLines="0" zoomScale="150" zoomScaleNormal="150" zoomScalePageLayoutView="150" workbookViewId="0">
      <selection activeCell="AY26" sqref="AY26"/>
    </sheetView>
  </sheetViews>
  <sheetFormatPr baseColWidth="10" defaultColWidth="9.1640625" defaultRowHeight="15" x14ac:dyDescent="0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301</v>
      </c>
      <c r="B1" s="144"/>
      <c r="C1" s="144"/>
    </row>
    <row r="2" spans="1:46">
      <c r="A2" s="144" t="s">
        <v>300</v>
      </c>
      <c r="B2" s="144"/>
      <c r="C2" s="144"/>
    </row>
    <row r="3" spans="1:46">
      <c r="A3" s="144" t="s">
        <v>298</v>
      </c>
      <c r="B3" s="144"/>
      <c r="C3" s="144"/>
    </row>
    <row r="4" spans="1:46">
      <c r="A4" s="144" t="s">
        <v>299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111</v>
      </c>
      <c r="E8" s="47" t="s">
        <v>112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113</v>
      </c>
      <c r="B9" s="144">
        <f t="array" ref="B9">SUM(B21:F21*B22:F22*B16:F16)</f>
        <v>3.9245662099045555</v>
      </c>
      <c r="C9" s="144" t="s">
        <v>114</v>
      </c>
      <c r="D9" s="48" t="s">
        <v>115</v>
      </c>
      <c r="E9" s="49"/>
      <c r="F9" s="49"/>
      <c r="G9" s="49"/>
      <c r="X9" s="35"/>
      <c r="AN9"/>
      <c r="AS9" s="188" t="s">
        <v>116</v>
      </c>
    </row>
    <row r="10" spans="1:46">
      <c r="A10" s="144" t="s">
        <v>176</v>
      </c>
      <c r="B10" s="192">
        <f>'UNIFAC (LLEa)'!TC.</f>
        <v>25</v>
      </c>
      <c r="C10" s="146" t="s">
        <v>117</v>
      </c>
      <c r="D10" s="50" t="s">
        <v>118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119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0">
      <c r="B12" s="36" t="s">
        <v>120</v>
      </c>
      <c r="C12" s="36" t="s">
        <v>121</v>
      </c>
      <c r="D12" s="36" t="s">
        <v>122</v>
      </c>
      <c r="E12" s="36" t="s">
        <v>123</v>
      </c>
      <c r="F12" s="36" t="s">
        <v>124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0">
      <c r="A13" s="35" t="s">
        <v>125</v>
      </c>
      <c r="B13" s="193">
        <f>'UNIFAC (LLEa)'!B14</f>
        <v>6.47682</v>
      </c>
      <c r="C13" s="193">
        <f>'UNIFAC (LLEa)'!C14</f>
        <v>0</v>
      </c>
      <c r="D13" s="193">
        <f>'UNIFAC (LLEa)'!D14</f>
        <v>8.0713100000000004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126</v>
      </c>
      <c r="B14" s="193">
        <f>'UNIFAC (LLEa)'!B15</f>
        <v>2603.3589999999999</v>
      </c>
      <c r="C14" s="193">
        <f>'UNIFAC (LLEa)'!C15</f>
        <v>0</v>
      </c>
      <c r="D14" s="193">
        <f>'UNIFAC (LLEa)'!D15</f>
        <v>1730.63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237</v>
      </c>
    </row>
    <row r="15" spans="1:46" s="72" customFormat="1" ht="10">
      <c r="A15" s="35" t="s">
        <v>127</v>
      </c>
      <c r="B15" s="193">
        <f>'UNIFAC (LLEa)'!B16</f>
        <v>321.94900000000001</v>
      </c>
      <c r="C15" s="193">
        <f>'UNIFAC (LLEa)'!C16</f>
        <v>0</v>
      </c>
      <c r="D15" s="193">
        <f>'UNIFAC (LLEa)'!D16</f>
        <v>233.42599999999999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1">
      <c r="A16" s="35" t="s">
        <v>128</v>
      </c>
      <c r="B16" s="193">
        <f>'UNIFAC (LLEa)'!B17</f>
        <v>9.4024636752755228E-2</v>
      </c>
      <c r="C16" s="193">
        <f>'UNIFAC (LLEa)'!C17</f>
        <v>1</v>
      </c>
      <c r="D16" s="193">
        <f>'UNIFAC (LLEa)'!D17</f>
        <v>23.686413553095228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0">
      <c r="A17" s="35" t="s">
        <v>129</v>
      </c>
      <c r="B17" s="194">
        <f>'UNIFAC (LLEa)'!B18</f>
        <v>2.173597886941657E-3</v>
      </c>
      <c r="C17" s="194">
        <f>'UNIFAC (LLEa)'!C18</f>
        <v>0.99782640167748493</v>
      </c>
      <c r="D17" s="194">
        <f>'UNIFAC (LLEa)'!D18</f>
        <v>4.3557349556051152E-10</v>
      </c>
      <c r="E17" s="194">
        <f>'UNIFAC (LLEa)'!E18</f>
        <v>3.2362438124389982E-20</v>
      </c>
      <c r="F17" s="194">
        <f>'UNIFAC (LLEa)'!F18</f>
        <v>8.0745286033057018E-21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0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0">
      <c r="B19" s="36" t="s">
        <v>120</v>
      </c>
      <c r="C19" s="36" t="s">
        <v>121</v>
      </c>
      <c r="D19" s="36" t="s">
        <v>122</v>
      </c>
      <c r="E19" s="36" t="s">
        <v>123</v>
      </c>
      <c r="F19" s="36" t="s">
        <v>124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2">
      <c r="A20" s="35"/>
      <c r="B20" s="261" t="str">
        <f>'UNIFAC (LLEa)'!B21</f>
        <v>water</v>
      </c>
      <c r="C20" s="261" t="str">
        <f>'UNIFAC (LLEa)'!C21</f>
        <v>MEK</v>
      </c>
      <c r="D20" s="261" t="str">
        <f>'UNIFAC (LLEa)'!D21</f>
        <v>PA</v>
      </c>
      <c r="E20" s="262" t="str">
        <f>'UNIFAC (LLEa)'!E21</f>
        <v>ethyl benzene</v>
      </c>
      <c r="F20" s="261" t="str">
        <f>'UNIFAC (LLEa)'!F21</f>
        <v>none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4">
      <c r="A21" s="72" t="s">
        <v>83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132</v>
      </c>
      <c r="L21" s="36"/>
      <c r="M21"/>
      <c r="N21"/>
      <c r="O21"/>
      <c r="P21"/>
      <c r="Q21" s="80" t="s">
        <v>133</v>
      </c>
      <c r="R21" s="36"/>
      <c r="S21" s="36"/>
      <c r="T21" s="36"/>
      <c r="U21"/>
      <c r="V21" s="35"/>
      <c r="W21" s="81" t="s">
        <v>134</v>
      </c>
      <c r="X21" s="36"/>
      <c r="Y21" s="35"/>
      <c r="Z21" s="35"/>
      <c r="AA21"/>
      <c r="AB21" s="36"/>
      <c r="AC21" s="81" t="s">
        <v>135</v>
      </c>
      <c r="AD21" s="35"/>
      <c r="AE21" s="35"/>
      <c r="AF21" s="35"/>
      <c r="AG21" s="36"/>
      <c r="AH21" s="36"/>
      <c r="AI21" s="81" t="s">
        <v>136</v>
      </c>
      <c r="AJ21" s="35"/>
      <c r="AK21" s="35"/>
      <c r="AM21"/>
      <c r="AO21" s="72" t="s">
        <v>137</v>
      </c>
      <c r="AS21" s="35"/>
      <c r="AT21" s="35"/>
    </row>
    <row r="22" spans="1:48" s="72" customFormat="1" ht="11">
      <c r="A22" s="82" t="s">
        <v>138</v>
      </c>
      <c r="B22" s="56">
        <f>EXP(B50-B49+B48)</f>
        <v>1.23527624534214</v>
      </c>
      <c r="C22" s="56">
        <f>EXP(C50-C49+C48)</f>
        <v>4.5412597081698189</v>
      </c>
      <c r="D22" s="56">
        <f>EXP(D50-D49+D48)</f>
        <v>1.5354584087842345</v>
      </c>
      <c r="E22" s="56">
        <f>EXP(E50-E49+E48)</f>
        <v>170.23098920857737</v>
      </c>
      <c r="F22" s="56">
        <f>EXP(F50-F49+F48)</f>
        <v>3.2027064606188151</v>
      </c>
      <c r="G22" s="82" t="s">
        <v>139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140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140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140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140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140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140</v>
      </c>
      <c r="AS22" s="35"/>
      <c r="AT22" s="142"/>
    </row>
    <row r="23" spans="1:48" s="72" customFormat="1" ht="10">
      <c r="A23" s="35" t="str">
        <f>'aij-UNIFAC (LLE)'!B10</f>
        <v>CH3</v>
      </c>
      <c r="B23" s="193">
        <f>'UNIFAC (LLEa)'!B24</f>
        <v>0</v>
      </c>
      <c r="C23" s="193">
        <f>'UNIFAC (LLEa)'!C24</f>
        <v>1</v>
      </c>
      <c r="D23" s="193">
        <f>'UNIFAC (LLEa)'!D24</f>
        <v>1</v>
      </c>
      <c r="E23" s="193">
        <f>'UNIFAC (LLEa)'!E24</f>
        <v>1</v>
      </c>
      <c r="F23" s="193">
        <f>'UNIFAC (LLEa)'!F24</f>
        <v>1</v>
      </c>
      <c r="G23" s="83">
        <f t="array" ref="G23">SUM(B23:F23*$B$21:$F$21)</f>
        <v>0.22708368943490567</v>
      </c>
      <c r="H23" s="36" t="str">
        <f t="shared" ref="H23:H40" si="0">A23</f>
        <v>CH3</v>
      </c>
      <c r="I23" s="84">
        <f t="shared" ref="I23:I40" si="1">B23/B$42</f>
        <v>0</v>
      </c>
      <c r="J23" s="85">
        <f t="shared" ref="J23:J40" si="2">C23/C$42</f>
        <v>0.33333333333333331</v>
      </c>
      <c r="K23" s="85">
        <f t="shared" ref="K23:K40" si="3">D23/D$42</f>
        <v>0.33333333333333331</v>
      </c>
      <c r="L23" s="85">
        <f t="shared" ref="L23:L40" si="4">E23/E$42</f>
        <v>0.14285714285714285</v>
      </c>
      <c r="M23" s="85">
        <f t="shared" ref="M23:M40" si="5">F23/F$42</f>
        <v>1</v>
      </c>
      <c r="N23" s="86">
        <f t="shared" ref="N23:N40" si="6">G23/$G$41</f>
        <v>0.15616062685397097</v>
      </c>
      <c r="O23" s="84">
        <f>I23*'aij-UNIFAC (LLE)'!$D10/I$41</f>
        <v>0</v>
      </c>
      <c r="P23" s="85">
        <f>J23*'aij-UNIFAC (LLE)'!$D10/J$41</f>
        <v>0.2948539638386648</v>
      </c>
      <c r="Q23" s="85">
        <f>K23*'aij-UNIFAC (LLE)'!$D10/K$41</f>
        <v>0.32465543644716688</v>
      </c>
      <c r="R23" s="85">
        <f>L23*'aij-UNIFAC (LLE)'!$D10/L$41</f>
        <v>0.24173318129988591</v>
      </c>
      <c r="S23" s="85">
        <f>M23*'aij-UNIFAC (LLE)'!$D10/M$41</f>
        <v>1</v>
      </c>
      <c r="T23" s="87">
        <f>N23*'aij-UNIFAC (LLE)'!$D10/N$41</f>
        <v>0.11248586808783752</v>
      </c>
      <c r="U23" s="84">
        <f t="array" ref="U23:Z40">MMULT(TRANSPOSE(tauL),O23:T40)</f>
        <v>0.31713896453518281</v>
      </c>
      <c r="V23" s="88">
        <v>0.89648164977223499</v>
      </c>
      <c r="W23" s="85">
        <v>0.5327439110866834</v>
      </c>
      <c r="X23" s="85">
        <v>0.71158633622681877</v>
      </c>
      <c r="Y23" s="88">
        <v>1</v>
      </c>
      <c r="Z23" s="89">
        <v>0.4814020996460438</v>
      </c>
      <c r="AA23" s="90">
        <f t="shared" ref="AA23:AA40" si="7">O23/U23</f>
        <v>0</v>
      </c>
      <c r="AB23" s="91">
        <f t="shared" ref="AB23:AB40" si="8">P23/V23</f>
        <v>0.32890128193206969</v>
      </c>
      <c r="AC23" s="91">
        <f t="shared" ref="AC23:AC40" si="9">Q23/W23</f>
        <v>0.60940243462368138</v>
      </c>
      <c r="AD23" s="91">
        <f t="shared" ref="AD23:AD40" si="10">R23/X23</f>
        <v>0.33971026282161954</v>
      </c>
      <c r="AE23" s="91">
        <f t="shared" ref="AE23:AE40" si="11">S23/Y23</f>
        <v>1</v>
      </c>
      <c r="AF23" s="86">
        <f t="shared" ref="AF23:AF40" si="12">T23/Z23</f>
        <v>0.23366301927337665</v>
      </c>
      <c r="AG23" s="84">
        <f t="array" ref="AG23:AL40">MMULT(tauL,AA23:AF40)</f>
        <v>1.2775559273734912E-2</v>
      </c>
      <c r="AH23" s="85">
        <v>0.7103827463712129</v>
      </c>
      <c r="AI23" s="88">
        <v>1.3637568488798411</v>
      </c>
      <c r="AJ23" s="88">
        <v>1.3378907262909103</v>
      </c>
      <c r="AK23" s="88">
        <v>1</v>
      </c>
      <c r="AL23" s="89">
        <v>0.42517366325853928</v>
      </c>
      <c r="AM23" s="92">
        <f>'aij-UNIFAC (LLE)'!$D10*(1-LN(U23)-AG23)</f>
        <v>1.8110224384308249</v>
      </c>
      <c r="AN23" s="93">
        <f>'aij-UNIFAC (LLE)'!$D10*(1-LN(V23)-AH23)</f>
        <v>0.33826271282313775</v>
      </c>
      <c r="AO23" s="93">
        <f>'aij-UNIFAC (LLE)'!$D10*(1-LN(W23)-AI23)</f>
        <v>0.22553203496494176</v>
      </c>
      <c r="AP23" s="93">
        <f>'aij-UNIFAC (LLE)'!$D10*(1-LN(X23)-AJ23)</f>
        <v>2.0078931822006753E-3</v>
      </c>
      <c r="AQ23" s="93">
        <f>'aij-UNIFAC (LLE)'!$D10*(1-LN(Y23)-AK23)</f>
        <v>0</v>
      </c>
      <c r="AR23" s="94">
        <f>'aij-UNIFAC (LLE)'!$D10*(1-LN(Z23)-AL23)</f>
        <v>1.1073851620586173</v>
      </c>
      <c r="AS23" s="35"/>
      <c r="AT23" s="137"/>
      <c r="AU23" s="138"/>
      <c r="AV23" s="142"/>
    </row>
    <row r="24" spans="1:48" s="72" customFormat="1" ht="10">
      <c r="A24" s="35" t="str">
        <f>'aij-UNIFAC (LLE)'!B11</f>
        <v>CH2</v>
      </c>
      <c r="B24" s="193">
        <f>'UNIFAC (LLEa)'!B25</f>
        <v>0</v>
      </c>
      <c r="C24" s="193">
        <f>'UNIFAC (LLEa)'!C25</f>
        <v>1</v>
      </c>
      <c r="D24" s="193">
        <f>'UNIFAC (LLEa)'!D25</f>
        <v>1</v>
      </c>
      <c r="E24" s="193">
        <f>'UNIFAC (LLEa)'!E25</f>
        <v>0</v>
      </c>
      <c r="F24" s="193">
        <f>'UNIFAC (LLEa)'!F25</f>
        <v>0</v>
      </c>
      <c r="G24" s="83">
        <f t="array" ref="G24">SUM(B24:F24*$B$21:$F$21)</f>
        <v>0.22708368943490567</v>
      </c>
      <c r="H24" s="36" t="str">
        <f t="shared" si="0"/>
        <v>CH2</v>
      </c>
      <c r="I24" s="95">
        <f t="shared" si="1"/>
        <v>0</v>
      </c>
      <c r="J24" s="96">
        <f t="shared" si="2"/>
        <v>0.33333333333333331</v>
      </c>
      <c r="K24" s="96">
        <f t="shared" si="3"/>
        <v>0.33333333333333331</v>
      </c>
      <c r="L24" s="96">
        <f t="shared" si="4"/>
        <v>0</v>
      </c>
      <c r="M24" s="96">
        <f t="shared" si="5"/>
        <v>0</v>
      </c>
      <c r="N24" s="97">
        <f t="shared" si="6"/>
        <v>0.15616062685397097</v>
      </c>
      <c r="O24" s="95">
        <f>I24*'aij-UNIFAC (LLE)'!$D11/I$41</f>
        <v>0</v>
      </c>
      <c r="P24" s="96">
        <f>J24*'aij-UNIFAC (LLE)'!$D11/J$41</f>
        <v>0.18776077885952713</v>
      </c>
      <c r="Q24" s="96">
        <f>K24*'aij-UNIFAC (LLE)'!$D11/K$41</f>
        <v>0.20673813169984687</v>
      </c>
      <c r="R24" s="96">
        <f>L24*'aij-UNIFAC (LLE)'!$D11/L$41</f>
        <v>0</v>
      </c>
      <c r="S24" s="96">
        <f>M24*'aij-UNIFAC (LLE)'!$D11/M$41</f>
        <v>0</v>
      </c>
      <c r="T24" s="98">
        <f>N24*'aij-UNIFAC (LLE)'!$D11/N$41</f>
        <v>7.16301518483871E-2</v>
      </c>
      <c r="U24" s="95">
        <v>0.31713896453518281</v>
      </c>
      <c r="V24" s="99">
        <v>0.89648164977223499</v>
      </c>
      <c r="W24" s="96">
        <v>0.5327439110866834</v>
      </c>
      <c r="X24" s="96">
        <v>0.71158633622681877</v>
      </c>
      <c r="Y24" s="99">
        <v>1</v>
      </c>
      <c r="Z24" s="100">
        <v>0.4814020996460438</v>
      </c>
      <c r="AA24" s="101">
        <f t="shared" si="7"/>
        <v>0</v>
      </c>
      <c r="AB24" s="102">
        <f t="shared" si="8"/>
        <v>0.20944185406051608</v>
      </c>
      <c r="AC24" s="102">
        <f t="shared" si="9"/>
        <v>0.38806287110470278</v>
      </c>
      <c r="AD24" s="102">
        <f t="shared" si="10"/>
        <v>0</v>
      </c>
      <c r="AE24" s="102">
        <f t="shared" si="11"/>
        <v>0</v>
      </c>
      <c r="AF24" s="97">
        <f t="shared" si="12"/>
        <v>0.14879484717880118</v>
      </c>
      <c r="AG24" s="95">
        <v>1.2775559273734912E-2</v>
      </c>
      <c r="AH24" s="96">
        <v>0.7103827463712129</v>
      </c>
      <c r="AI24" s="99">
        <v>1.3637568488798411</v>
      </c>
      <c r="AJ24" s="99">
        <v>1.3378907262909103</v>
      </c>
      <c r="AK24" s="99">
        <v>1</v>
      </c>
      <c r="AL24" s="100">
        <v>0.42517366325853928</v>
      </c>
      <c r="AM24" s="103">
        <f>'aij-UNIFAC (LLE)'!$D11*(1-LN(U24)-AG24)</f>
        <v>1.1532454206988745</v>
      </c>
      <c r="AN24" s="104">
        <f>'aij-UNIFAC (LLE)'!$D11*(1-LN(V24)-AH24)</f>
        <v>0.21540314259963964</v>
      </c>
      <c r="AO24" s="104">
        <f>'aij-UNIFAC (LLE)'!$D11*(1-LN(W24)-AI24)</f>
        <v>0.14361709773710915</v>
      </c>
      <c r="AP24" s="104">
        <f>'aij-UNIFAC (LLE)'!$D11*(1-LN(X24)-AJ24)</f>
        <v>1.278611224514581E-3</v>
      </c>
      <c r="AQ24" s="104">
        <f>'aij-UNIFAC (LLE)'!$D11*(1-LN(Y24)-AK24)</f>
        <v>0</v>
      </c>
      <c r="AR24" s="105">
        <f>'aij-UNIFAC (LLE)'!$D11*(1-LN(Z24)-AL24)</f>
        <v>0.70517451357506289</v>
      </c>
      <c r="AS24" s="35"/>
      <c r="AT24" s="137"/>
      <c r="AU24" s="143"/>
      <c r="AV24" s="143"/>
    </row>
    <row r="25" spans="1:48" s="72" customFormat="1" ht="10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0.31713896453518281</v>
      </c>
      <c r="V25" s="99">
        <v>0.89648164977223499</v>
      </c>
      <c r="W25" s="99">
        <v>0.5327439110866834</v>
      </c>
      <c r="X25" s="99">
        <v>0.71158633622681877</v>
      </c>
      <c r="Y25" s="99">
        <v>1</v>
      </c>
      <c r="Z25" s="100">
        <v>0.4814020996460438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1.2775559273734912E-2</v>
      </c>
      <c r="AH25" s="99">
        <v>0.7103827463712129</v>
      </c>
      <c r="AI25" s="99">
        <v>1.3637568488798411</v>
      </c>
      <c r="AJ25" s="99">
        <v>1.3378907262909103</v>
      </c>
      <c r="AK25" s="99">
        <v>1</v>
      </c>
      <c r="AL25" s="100">
        <v>0.42517366325853928</v>
      </c>
      <c r="AM25" s="103">
        <f>'aij-UNIFAC (LLE)'!$D12*(1-LN(U25)-AG25)</f>
        <v>0.48692584429508029</v>
      </c>
      <c r="AN25" s="104">
        <f>'aij-UNIFAC (LLE)'!$D12*(1-LN(V25)-AH25)</f>
        <v>9.094799354207006E-2</v>
      </c>
      <c r="AO25" s="104">
        <f>'aij-UNIFAC (LLE)'!$D12*(1-LN(W25)-AI25)</f>
        <v>6.0638330155668309E-2</v>
      </c>
      <c r="AP25" s="104">
        <f>'aij-UNIFAC (LLE)'!$D12*(1-LN(X25)-AJ25)</f>
        <v>5.3985807257282302E-4</v>
      </c>
      <c r="AQ25" s="104">
        <f>'aij-UNIFAC (LLE)'!$D12*(1-LN(Y25)-AK25)</f>
        <v>0</v>
      </c>
      <c r="AR25" s="105">
        <f>'aij-UNIFAC (LLE)'!$D12*(1-LN(Z25)-AL25)</f>
        <v>0.29774035017613765</v>
      </c>
      <c r="AS25" s="35"/>
      <c r="AT25" s="190"/>
    </row>
    <row r="26" spans="1:48" s="72" customFormat="1" ht="10">
      <c r="A26" s="35" t="str">
        <f>'aij-UNIFAC (LLE)'!B13</f>
        <v>ACH</v>
      </c>
      <c r="B26" s="193">
        <f>'UNIFAC (LLEa)'!B27</f>
        <v>0</v>
      </c>
      <c r="C26" s="193">
        <f>'UNIFAC (LLEa)'!C27</f>
        <v>0</v>
      </c>
      <c r="D26" s="193">
        <f>'UNIFAC (LLEa)'!D27</f>
        <v>0</v>
      </c>
      <c r="E26" s="193">
        <f>'UNIFAC (LLEa)'!E27</f>
        <v>5</v>
      </c>
      <c r="F26" s="193">
        <f>'UNIFAC (LLEa)'!F27</f>
        <v>0</v>
      </c>
      <c r="G26" s="83">
        <f t="array" ref="G26">SUM(B26:F26*$B$21:$F$21)</f>
        <v>4.9999999999999999E-20</v>
      </c>
      <c r="H26" s="36" t="str">
        <f t="shared" si="0"/>
        <v>ACH</v>
      </c>
      <c r="I26" s="95">
        <f t="shared" si="1"/>
        <v>0</v>
      </c>
      <c r="J26" s="96">
        <f t="shared" si="2"/>
        <v>0</v>
      </c>
      <c r="K26" s="96">
        <f t="shared" si="3"/>
        <v>0</v>
      </c>
      <c r="L26" s="96">
        <f t="shared" si="4"/>
        <v>0.7142857142857143</v>
      </c>
      <c r="M26" s="96">
        <f t="shared" si="5"/>
        <v>0</v>
      </c>
      <c r="N26" s="97">
        <f t="shared" si="6"/>
        <v>3.4383937314602898E-20</v>
      </c>
      <c r="O26" s="95">
        <f>I26*'aij-UNIFAC (LLE)'!$D13/I$41</f>
        <v>0</v>
      </c>
      <c r="P26" s="96">
        <f>J26*'aij-UNIFAC (LLE)'!$D13/J$41</f>
        <v>0</v>
      </c>
      <c r="Q26" s="96">
        <f>K26*'aij-UNIFAC (LLE)'!$D13/K$41</f>
        <v>0</v>
      </c>
      <c r="R26" s="96">
        <f>L26*'aij-UNIFAC (LLE)'!$D13/L$41</f>
        <v>0.5701254275940707</v>
      </c>
      <c r="S26" s="96">
        <f>M26*'aij-UNIFAC (LLE)'!$D13/M$41</f>
        <v>0</v>
      </c>
      <c r="T26" s="98">
        <f>N26*'aij-UNIFAC (LLE)'!$D13/N$41</f>
        <v>1.168277912684602E-20</v>
      </c>
      <c r="U26" s="95">
        <v>0.2863967113010697</v>
      </c>
      <c r="V26" s="96">
        <v>1.3820817637164486</v>
      </c>
      <c r="W26" s="96">
        <v>1.1447626922120291</v>
      </c>
      <c r="X26" s="99">
        <v>1.2332293994061172</v>
      </c>
      <c r="Y26" s="99">
        <v>1.4696747042862897</v>
      </c>
      <c r="Z26" s="100">
        <v>0.6576191535178878</v>
      </c>
      <c r="AA26" s="101">
        <f t="shared" si="7"/>
        <v>0</v>
      </c>
      <c r="AB26" s="102">
        <f t="shared" si="8"/>
        <v>0</v>
      </c>
      <c r="AC26" s="102">
        <f t="shared" si="9"/>
        <v>0</v>
      </c>
      <c r="AD26" s="102">
        <f t="shared" si="10"/>
        <v>0.46230281881750823</v>
      </c>
      <c r="AE26" s="102">
        <f t="shared" si="11"/>
        <v>0</v>
      </c>
      <c r="AF26" s="97">
        <f t="shared" si="12"/>
        <v>1.7765265905577426E-20</v>
      </c>
      <c r="AG26" s="95">
        <v>5.5997864440543062E-2</v>
      </c>
      <c r="AH26" s="99">
        <v>0.4331025763939797</v>
      </c>
      <c r="AI26" s="99">
        <v>0.71433788360872308</v>
      </c>
      <c r="AJ26" s="99">
        <v>0.78677617042954884</v>
      </c>
      <c r="AK26" s="99">
        <v>0.5916124096015547</v>
      </c>
      <c r="AL26" s="100">
        <v>0.2964482952778757</v>
      </c>
      <c r="AM26" s="103">
        <f>'aij-UNIFAC (LLE)'!$D13*(1-LN(U26)-AG26)</f>
        <v>0.87775178496334361</v>
      </c>
      <c r="AN26" s="104">
        <f>'aij-UNIFAC (LLE)'!$D13*(1-LN(V26)-AH26)</f>
        <v>9.7322614673873209E-2</v>
      </c>
      <c r="AO26" s="104">
        <f>'aij-UNIFAC (LLE)'!$D13*(1-LN(W26)-AI26)</f>
        <v>6.0185902630209932E-2</v>
      </c>
      <c r="AP26" s="104">
        <f>'aij-UNIFAC (LLE)'!$D13*(1-LN(X26)-AJ26)</f>
        <v>1.4350291564633189E-3</v>
      </c>
      <c r="AQ26" s="104">
        <f>'aij-UNIFAC (LLE)'!$D13*(1-LN(Y26)-AK26)</f>
        <v>9.3386014788481297E-3</v>
      </c>
      <c r="AR26" s="105">
        <f>'aij-UNIFAC (LLE)'!$D13*(1-LN(Z26)-AL26)</f>
        <v>0.44907240559625666</v>
      </c>
      <c r="AS26" s="35"/>
      <c r="AT26" s="190"/>
    </row>
    <row r="27" spans="1:48" s="72" customFormat="1" ht="10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0</v>
      </c>
      <c r="E27" s="193">
        <f>'UNIFAC (LLEa)'!E28</f>
        <v>1</v>
      </c>
      <c r="F27" s="193">
        <f>'UNIFAC (LLEa)'!F28</f>
        <v>0</v>
      </c>
      <c r="G27" s="83">
        <f t="array" ref="G27">SUM(B27:F27*$B$21:$F$21)</f>
        <v>9.9999999999999995E-21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</v>
      </c>
      <c r="L27" s="96">
        <f t="shared" si="4"/>
        <v>0.14285714285714285</v>
      </c>
      <c r="M27" s="96">
        <f t="shared" si="5"/>
        <v>0</v>
      </c>
      <c r="N27" s="97">
        <f t="shared" si="6"/>
        <v>6.8767874629205792E-21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</v>
      </c>
      <c r="R27" s="96">
        <f>L27*'aij-UNIFAC (LLE)'!$D14/L$41</f>
        <v>0.18814139110604328</v>
      </c>
      <c r="S27" s="96">
        <f>M27*'aij-UNIFAC (LLE)'!$D14/M$41</f>
        <v>0</v>
      </c>
      <c r="T27" s="98">
        <f>N27*'aij-UNIFAC (LLE)'!$D14/N$41</f>
        <v>3.8553171118591867E-21</v>
      </c>
      <c r="U27" s="95">
        <v>0.50499176955805858</v>
      </c>
      <c r="V27" s="96">
        <v>1.3742811425583064</v>
      </c>
      <c r="W27" s="96">
        <v>1.0692580209530504</v>
      </c>
      <c r="X27" s="99">
        <v>0.87010606614215424</v>
      </c>
      <c r="Y27" s="99">
        <v>1.4741177886932793</v>
      </c>
      <c r="Z27" s="100">
        <v>0.7838211178629847</v>
      </c>
      <c r="AA27" s="101">
        <f t="shared" si="7"/>
        <v>0</v>
      </c>
      <c r="AB27" s="102">
        <f t="shared" si="8"/>
        <v>0</v>
      </c>
      <c r="AC27" s="102">
        <f t="shared" si="9"/>
        <v>0</v>
      </c>
      <c r="AD27" s="102">
        <f t="shared" si="10"/>
        <v>0.21622811106261788</v>
      </c>
      <c r="AE27" s="102">
        <f t="shared" si="11"/>
        <v>0</v>
      </c>
      <c r="AF27" s="97">
        <f t="shared" si="12"/>
        <v>4.918618577629485E-21</v>
      </c>
      <c r="AG27" s="95">
        <v>5.0639268591451167E-9</v>
      </c>
      <c r="AH27" s="99">
        <v>0.41809525210844134</v>
      </c>
      <c r="AI27" s="99">
        <v>0.89026250870427348</v>
      </c>
      <c r="AJ27" s="99">
        <v>1.2119944291609255</v>
      </c>
      <c r="AK27" s="99">
        <v>0.70457583072813879</v>
      </c>
      <c r="AL27" s="100">
        <v>0.27986321711216711</v>
      </c>
      <c r="AM27" s="103">
        <f>'aij-UNIFAC (LLE)'!$D14*(1-LN(U27)-AG27)</f>
        <v>1.1109206741691282</v>
      </c>
      <c r="AN27" s="104">
        <f>'aij-UNIFAC (LLE)'!$D14*(1-LN(V27)-AH27)</f>
        <v>0.17422281287107297</v>
      </c>
      <c r="AO27" s="104">
        <f>'aij-UNIFAC (LLE)'!$D14*(1-LN(W27)-AI27)</f>
        <v>2.8229864337268117E-2</v>
      </c>
      <c r="AP27" s="104">
        <f>'aij-UNIFAC (LLE)'!$D14*(1-LN(X27)-AJ27)</f>
        <v>-4.8083817871517859E-2</v>
      </c>
      <c r="AQ27" s="104">
        <f>'aij-UNIFAC (LLE)'!$D14*(1-LN(Y27)-AK27)</f>
        <v>-6.1139451265646308E-2</v>
      </c>
      <c r="AR27" s="105">
        <f>'aij-UNIFAC (LLE)'!$D14*(1-LN(Z27)-AL27)</f>
        <v>0.63604941413935212</v>
      </c>
      <c r="AS27" s="35"/>
      <c r="AT27" s="190"/>
    </row>
    <row r="28" spans="1:48" s="72" customFormat="1" ht="10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0.50499176955805858</v>
      </c>
      <c r="V28" s="96">
        <v>1.3742811425583064</v>
      </c>
      <c r="W28" s="96">
        <v>1.0692580209530504</v>
      </c>
      <c r="X28" s="99">
        <v>0.87010606614215424</v>
      </c>
      <c r="Y28" s="99">
        <v>1.4741177886932793</v>
      </c>
      <c r="Z28" s="100">
        <v>0.7838211178629847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5.0639268591451167E-9</v>
      </c>
      <c r="AH28" s="99">
        <v>0.41809525210844134</v>
      </c>
      <c r="AI28" s="99">
        <v>0.89026250870427348</v>
      </c>
      <c r="AJ28" s="99">
        <v>1.2119944291609255</v>
      </c>
      <c r="AK28" s="99">
        <v>0.70457583072813879</v>
      </c>
      <c r="AL28" s="100">
        <v>0.27986321711216711</v>
      </c>
      <c r="AM28" s="103">
        <f>'aij-UNIFAC (LLE)'!$D15*(1-LN(U28)-AG28)</f>
        <v>1.6293503221147212</v>
      </c>
      <c r="AN28" s="104">
        <f>'aij-UNIFAC (LLE)'!$D15*(1-LN(V28)-AH28)</f>
        <v>0.25552679221090696</v>
      </c>
      <c r="AO28" s="104">
        <f>'aij-UNIFAC (LLE)'!$D15*(1-LN(W28)-AI28)</f>
        <v>4.140380102799323E-2</v>
      </c>
      <c r="AP28" s="104">
        <f>'aij-UNIFAC (LLE)'!$D15*(1-LN(X28)-AJ28)</f>
        <v>-7.0522932878226183E-2</v>
      </c>
      <c r="AQ28" s="104">
        <f>'aij-UNIFAC (LLE)'!$D15*(1-LN(Y28)-AK28)</f>
        <v>-8.9671195189614583E-2</v>
      </c>
      <c r="AR28" s="105">
        <f>'aij-UNIFAC (LLE)'!$D15*(1-LN(Z28)-AL28)</f>
        <v>0.93287247407104967</v>
      </c>
      <c r="AS28" s="35"/>
      <c r="AT28" s="190"/>
    </row>
    <row r="29" spans="1:48" s="72" customFormat="1" ht="10">
      <c r="A29" s="35" t="str">
        <f>'aij-UNIFAC (LLE)'!B16</f>
        <v>OH</v>
      </c>
      <c r="B29" s="193">
        <f>'UNIFAC (LLEa)'!B30</f>
        <v>0</v>
      </c>
      <c r="C29" s="193">
        <f>'UNIFAC (LLEa)'!C30</f>
        <v>0</v>
      </c>
      <c r="D29" s="193">
        <f>'UNIFAC (LLEa)'!D30</f>
        <v>0</v>
      </c>
      <c r="E29" s="193">
        <f>'UNIFAC (LLEa)'!E30</f>
        <v>0</v>
      </c>
      <c r="F29" s="193">
        <f>'UNIFAC (LLEa)'!F30</f>
        <v>0</v>
      </c>
      <c r="G29" s="83">
        <f t="array" ref="G29">SUM(B29:F29*$B$21:$F$21)</f>
        <v>0</v>
      </c>
      <c r="H29" s="36" t="str">
        <f t="shared" si="0"/>
        <v>OH</v>
      </c>
      <c r="I29" s="95">
        <f t="shared" si="1"/>
        <v>0</v>
      </c>
      <c r="J29" s="96">
        <f t="shared" si="2"/>
        <v>0</v>
      </c>
      <c r="K29" s="96">
        <f t="shared" si="3"/>
        <v>0</v>
      </c>
      <c r="L29" s="96">
        <f t="shared" si="4"/>
        <v>0</v>
      </c>
      <c r="M29" s="96">
        <f t="shared" si="5"/>
        <v>0</v>
      </c>
      <c r="N29" s="97">
        <f t="shared" si="6"/>
        <v>0</v>
      </c>
      <c r="O29" s="95">
        <f>I29*'aij-UNIFAC (LLE)'!$D16/I$41</f>
        <v>0</v>
      </c>
      <c r="P29" s="96">
        <f>J29*'aij-UNIFAC (LLE)'!$D16/J$41</f>
        <v>0</v>
      </c>
      <c r="Q29" s="96">
        <f>K29*'aij-UNIFAC (LLE)'!$D16/K$41</f>
        <v>0</v>
      </c>
      <c r="R29" s="96">
        <f>L29*'aij-UNIFAC (LLE)'!$D16/L$41</f>
        <v>0</v>
      </c>
      <c r="S29" s="96">
        <f>M29*'aij-UNIFAC (LLE)'!$D16/M$41</f>
        <v>0</v>
      </c>
      <c r="T29" s="98">
        <f>N29*'aij-UNIFAC (LLE)'!$D16/N$41</f>
        <v>0</v>
      </c>
      <c r="U29" s="95">
        <v>1.5076190398931841</v>
      </c>
      <c r="V29" s="96">
        <v>0.30626230541641014</v>
      </c>
      <c r="W29" s="96">
        <v>0.37618429251668922</v>
      </c>
      <c r="X29" s="99">
        <v>8.1605881702306565E-2</v>
      </c>
      <c r="Y29" s="99">
        <v>0.11509481710145264</v>
      </c>
      <c r="Z29" s="100">
        <v>1.0750211663770948</v>
      </c>
      <c r="AA29" s="101">
        <f t="shared" si="7"/>
        <v>0</v>
      </c>
      <c r="AB29" s="102">
        <f t="shared" si="8"/>
        <v>0</v>
      </c>
      <c r="AC29" s="102">
        <f t="shared" si="9"/>
        <v>0</v>
      </c>
      <c r="AD29" s="102">
        <f t="shared" si="10"/>
        <v>0</v>
      </c>
      <c r="AE29" s="102">
        <f t="shared" si="11"/>
        <v>0</v>
      </c>
      <c r="AF29" s="97">
        <f t="shared" si="12"/>
        <v>0</v>
      </c>
      <c r="AG29" s="95">
        <v>0.90813621767355412</v>
      </c>
      <c r="AH29" s="99">
        <v>0.84946067786996104</v>
      </c>
      <c r="AI29" s="99">
        <v>1.1604151882840785</v>
      </c>
      <c r="AJ29" s="99">
        <v>0.8051060929079803</v>
      </c>
      <c r="AK29" s="99">
        <v>0.33260882012386883</v>
      </c>
      <c r="AL29" s="100">
        <v>1.1006944232082374</v>
      </c>
      <c r="AM29" s="103">
        <f>'aij-UNIFAC (LLE)'!$D16*(1-LN(U29)-AG29)</f>
        <v>-0.38240139513414123</v>
      </c>
      <c r="AN29" s="104">
        <f>'aij-UNIFAC (LLE)'!$D16*(1-LN(V29)-AH29)</f>
        <v>1.6006231909307143</v>
      </c>
      <c r="AO29" s="104">
        <f>'aij-UNIFAC (LLE)'!$D16*(1-LN(W29)-AI29)</f>
        <v>0.98071311325839805</v>
      </c>
      <c r="AP29" s="104">
        <f>'aij-UNIFAC (LLE)'!$D16*(1-LN(X29)-AJ29)</f>
        <v>3.2408974164198976</v>
      </c>
      <c r="AQ29" s="104">
        <f>'aij-UNIFAC (LLE)'!$D16*(1-LN(Y29)-AK29)</f>
        <v>3.3952682084054411</v>
      </c>
      <c r="AR29" s="105">
        <f>'aij-UNIFAC (LLE)'!$D16*(1-LN(Z29)-AL29)</f>
        <v>-0.20764172909656356</v>
      </c>
      <c r="AS29" s="35"/>
      <c r="AT29" s="35"/>
    </row>
    <row r="30" spans="1:48" s="72" customFormat="1" ht="10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0.7033952414758935</v>
      </c>
      <c r="V30" s="96">
        <v>0.96396923034571147</v>
      </c>
      <c r="W30" s="96">
        <v>0.33274183554304171</v>
      </c>
      <c r="X30" s="99">
        <v>0.17648516280611629</v>
      </c>
      <c r="Y30" s="99">
        <v>0.35271570801530017</v>
      </c>
      <c r="Z30" s="100">
        <v>0.71442973446894575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0.98043869766926783</v>
      </c>
      <c r="AH30" s="99">
        <v>1.0941507014254226</v>
      </c>
      <c r="AI30" s="99">
        <v>2.2626130518203071</v>
      </c>
      <c r="AJ30" s="99">
        <v>2.1465046767643616</v>
      </c>
      <c r="AK30" s="99">
        <v>1.5564300475353767</v>
      </c>
      <c r="AL30" s="100">
        <v>1.590986351916027</v>
      </c>
      <c r="AM30" s="103">
        <f>'aij-UNIFAC (LLE)'!$D17*(1-LN(U30)-AG30)</f>
        <v>1.1602461846509207</v>
      </c>
      <c r="AN30" s="104">
        <f>'aij-UNIFAC (LLE)'!$D17*(1-LN(V30)-AH30)</f>
        <v>-0.17948878837687962</v>
      </c>
      <c r="AO30" s="104">
        <f>'aij-UNIFAC (LLE)'!$D17*(1-LN(W30)-AI30)</f>
        <v>-0.50678994250323073</v>
      </c>
      <c r="AP30" s="104">
        <f>'aij-UNIFAC (LLE)'!$D17*(1-LN(X30)-AJ30)</f>
        <v>1.836955088705291</v>
      </c>
      <c r="AQ30" s="104">
        <f>'aij-UNIFAC (LLE)'!$D17*(1-LN(Y30)-AK30)</f>
        <v>1.5172107706408557</v>
      </c>
      <c r="AR30" s="105">
        <f>'aij-UNIFAC (LLE)'!$D17*(1-LN(Z30)-AL30)</f>
        <v>-0.79573191936143894</v>
      </c>
      <c r="AS30" s="35"/>
      <c r="AT30" s="35"/>
    </row>
    <row r="31" spans="1:48" s="72" customFormat="1" ht="10">
      <c r="A31" s="35" t="str">
        <f>'aij-UNIFAC (LLE)'!B18</f>
        <v>H2O</v>
      </c>
      <c r="B31" s="193">
        <f>'UNIFAC (LLEa)'!B32</f>
        <v>1</v>
      </c>
      <c r="C31" s="193">
        <f>'UNIFAC (LLEa)'!C32</f>
        <v>0</v>
      </c>
      <c r="D31" s="193">
        <f>'UNIFAC (LLEa)'!D32</f>
        <v>0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0.77291631056509436</v>
      </c>
      <c r="H31" s="36" t="str">
        <f t="shared" si="0"/>
        <v>H2O</v>
      </c>
      <c r="I31" s="95">
        <f t="shared" si="1"/>
        <v>1</v>
      </c>
      <c r="J31" s="96">
        <f t="shared" si="2"/>
        <v>0</v>
      </c>
      <c r="K31" s="96">
        <f t="shared" si="3"/>
        <v>0</v>
      </c>
      <c r="L31" s="96">
        <f t="shared" si="4"/>
        <v>0</v>
      </c>
      <c r="M31" s="96">
        <f t="shared" si="5"/>
        <v>0</v>
      </c>
      <c r="N31" s="97">
        <f t="shared" si="6"/>
        <v>0.53151811943808702</v>
      </c>
      <c r="O31" s="95">
        <f>I31*'aij-UNIFAC (LLE)'!$D18/I$41</f>
        <v>1</v>
      </c>
      <c r="P31" s="96">
        <f>J31*'aij-UNIFAC (LLE)'!$D18/J$41</f>
        <v>0</v>
      </c>
      <c r="Q31" s="96">
        <f>K31*'aij-UNIFAC (LLE)'!$D18/K$41</f>
        <v>0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0.63208673779081037</v>
      </c>
      <c r="U31" s="95">
        <v>1</v>
      </c>
      <c r="V31" s="96">
        <v>6.7703874642585635E-2</v>
      </c>
      <c r="W31" s="96">
        <v>5.9347954262435429E-2</v>
      </c>
      <c r="X31" s="99">
        <v>3.5014083947378864E-2</v>
      </c>
      <c r="Y31" s="99">
        <v>1.2775559273734912E-2</v>
      </c>
      <c r="Z31" s="100">
        <v>0.65587289291898498</v>
      </c>
      <c r="AA31" s="101">
        <f t="shared" si="7"/>
        <v>1</v>
      </c>
      <c r="AB31" s="102">
        <f t="shared" si="8"/>
        <v>0</v>
      </c>
      <c r="AC31" s="102">
        <f t="shared" si="9"/>
        <v>0</v>
      </c>
      <c r="AD31" s="102">
        <f t="shared" si="10"/>
        <v>0</v>
      </c>
      <c r="AE31" s="102">
        <f t="shared" si="11"/>
        <v>0</v>
      </c>
      <c r="AF31" s="97">
        <f t="shared" si="12"/>
        <v>0.96373359017428895</v>
      </c>
      <c r="AG31" s="95">
        <v>1</v>
      </c>
      <c r="AH31" s="99">
        <v>1.6644914123135983</v>
      </c>
      <c r="AI31" s="99">
        <v>3.1039591918257106</v>
      </c>
      <c r="AJ31" s="99">
        <v>0.34933078436147968</v>
      </c>
      <c r="AK31" s="99">
        <v>0.31713896453518281</v>
      </c>
      <c r="AL31" s="100">
        <v>1.3357634321269842</v>
      </c>
      <c r="AM31" s="103">
        <f>'aij-UNIFAC (LLE)'!$D18*(1-LN(U31)-AG31)</f>
        <v>0</v>
      </c>
      <c r="AN31" s="104">
        <f>'aij-UNIFAC (LLE)'!$D18*(1-LN(V31)-AH31)</f>
        <v>2.8393686381949399</v>
      </c>
      <c r="AO31" s="104">
        <f>'aij-UNIFAC (LLE)'!$D18*(1-LN(W31)-AI31)</f>
        <v>1.0085298100297053</v>
      </c>
      <c r="AP31" s="104">
        <f>'aij-UNIFAC (LLE)'!$D18*(1-LN(X31)-AJ31)</f>
        <v>5.6037437618053731</v>
      </c>
      <c r="AQ31" s="104">
        <f>'aij-UNIFAC (LLE)'!$D18*(1-LN(Y31)-AK31)</f>
        <v>7.060315360769307</v>
      </c>
      <c r="AR31" s="105">
        <f>'aij-UNIFAC (LLE)'!$D18*(1-LN(Z31)-AL31)</f>
        <v>0.12043477247107845</v>
      </c>
      <c r="AS31" s="35"/>
      <c r="AT31" s="35"/>
    </row>
    <row r="32" spans="1:48" s="72" customFormat="1" ht="12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0.31491306519734752</v>
      </c>
      <c r="V32" s="96">
        <v>3.4770557705487555</v>
      </c>
      <c r="W32" s="96">
        <v>0.4688823077589207</v>
      </c>
      <c r="X32" s="99">
        <v>7.2898669156508833E-2</v>
      </c>
      <c r="Y32" s="99">
        <v>5.1915552327153427E-4</v>
      </c>
      <c r="Z32" s="100">
        <v>1.0740222698759594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7.37914953953213</v>
      </c>
      <c r="AH32" s="99">
        <v>14.309830243702031</v>
      </c>
      <c r="AI32" s="99">
        <v>2.2894065027953725</v>
      </c>
      <c r="AJ32" s="99">
        <v>3.8884972315996258</v>
      </c>
      <c r="AK32" s="99">
        <v>1.7091083918547825</v>
      </c>
      <c r="AL32" s="100">
        <v>9.1897339330987897</v>
      </c>
      <c r="AM32" s="103">
        <f>'aij-UNIFAC (LLE)'!$D19*(1-LN(U32)-AG32)</f>
        <v>-3.5521097968935873</v>
      </c>
      <c r="AN32" s="104">
        <f>'aij-UNIFAC (LLE)'!$D19*(1-LN(V32)-AH32)</f>
        <v>-9.8980909727835051</v>
      </c>
      <c r="AO32" s="104">
        <f>'aij-UNIFAC (LLE)'!$D19*(1-LN(W32)-AI32)</f>
        <v>-0.36176205211986678</v>
      </c>
      <c r="AP32" s="104">
        <f>'aij-UNIFAC (LLE)'!$D19*(1-LN(X32)-AJ32)</f>
        <v>-0.18347238829289353</v>
      </c>
      <c r="AQ32" s="104">
        <f>'aij-UNIFAC (LLE)'!$D19*(1-LN(Y32)-AK32)</f>
        <v>4.6608550944778742</v>
      </c>
      <c r="AR32" s="105">
        <f>'aij-UNIFAC (LLE)'!$D19*(1-LN(Z32)-AL32)</f>
        <v>-5.6175783718076149</v>
      </c>
      <c r="AS32" s="5"/>
      <c r="AT32" s="35"/>
    </row>
    <row r="33" spans="1:46" s="72" customFormat="1" ht="12">
      <c r="A33" s="35" t="str">
        <f>'aij-UNIFAC (LLE)'!B20</f>
        <v>CH3CO</v>
      </c>
      <c r="B33" s="193">
        <f>'UNIFAC (LLEa)'!B34</f>
        <v>0</v>
      </c>
      <c r="C33" s="193">
        <f>'UNIFAC (LLEa)'!C34</f>
        <v>1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0.13900001042726937</v>
      </c>
      <c r="H33" s="36" t="str">
        <f t="shared" si="0"/>
        <v>CH3CO</v>
      </c>
      <c r="I33" s="95">
        <f t="shared" si="1"/>
        <v>0</v>
      </c>
      <c r="J33" s="96">
        <f t="shared" si="2"/>
        <v>0.33333333333333331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9.5587352905207576E-2</v>
      </c>
      <c r="O33" s="95">
        <f>I33*'aij-UNIFAC (LLE)'!$D20/I$41</f>
        <v>0</v>
      </c>
      <c r="P33" s="96">
        <f>J33*'aij-UNIFAC (LLE)'!$D20/J$41</f>
        <v>0.51738525730180818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0.12081863768156048</v>
      </c>
      <c r="U33" s="95">
        <v>1.7792999910100182</v>
      </c>
      <c r="V33" s="96">
        <v>0.61628538543171341</v>
      </c>
      <c r="W33" s="96">
        <v>0.76710687502833763</v>
      </c>
      <c r="X33" s="99">
        <v>0.13606462881294015</v>
      </c>
      <c r="Y33" s="99">
        <v>0.20492562572161924</v>
      </c>
      <c r="Z33" s="100">
        <v>1.3716812258376676</v>
      </c>
      <c r="AA33" s="101">
        <f t="shared" si="7"/>
        <v>0</v>
      </c>
      <c r="AB33" s="102">
        <f t="shared" si="8"/>
        <v>0.8395221913941302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8.8080696451741644E-2</v>
      </c>
      <c r="AG33" s="95">
        <v>0.11894077096783076</v>
      </c>
      <c r="AH33" s="99">
        <v>1.2701537285193256</v>
      </c>
      <c r="AI33" s="99">
        <v>0.80681463234441664</v>
      </c>
      <c r="AJ33" s="99">
        <v>1.1499298261051696</v>
      </c>
      <c r="AK33" s="99">
        <v>0.79992017791999159</v>
      </c>
      <c r="AL33" s="100">
        <v>0.50894458138572529</v>
      </c>
      <c r="AM33" s="103">
        <f>'aij-UNIFAC (LLE)'!$D20*(1-LN(U33)-AG33)</f>
        <v>0.45360073786443261</v>
      </c>
      <c r="AN33" s="104">
        <f>'aij-UNIFAC (LLE)'!$D20*(1-LN(V33)-AH33)</f>
        <v>0.31827041238924009</v>
      </c>
      <c r="AO33" s="104">
        <f>'aij-UNIFAC (LLE)'!$D20*(1-LN(W33)-AI33)</f>
        <v>0.68197199586487178</v>
      </c>
      <c r="AP33" s="104">
        <f>'aij-UNIFAC (LLE)'!$D20*(1-LN(X33)-AJ33)</f>
        <v>2.7449068566197856</v>
      </c>
      <c r="AQ33" s="104">
        <f>'aij-UNIFAC (LLE)'!$D20*(1-LN(Y33)-AK33)</f>
        <v>2.6563597277957203</v>
      </c>
      <c r="AR33" s="105">
        <f>'aij-UNIFAC (LLE)'!$D20*(1-LN(Z33)-AL33)</f>
        <v>0.26042716937747701</v>
      </c>
      <c r="AS33" s="5"/>
      <c r="AT33" s="35"/>
    </row>
    <row r="34" spans="1:46" s="72" customFormat="1" ht="12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3.233516842020296</v>
      </c>
      <c r="V34" s="96">
        <v>0.87044651108156679</v>
      </c>
      <c r="W34" s="96">
        <v>0.3264967788884946</v>
      </c>
      <c r="X34" s="99">
        <v>0.31454629529400052</v>
      </c>
      <c r="Y34" s="99">
        <v>0.58844606877609129</v>
      </c>
      <c r="Z34" s="100">
        <v>2.291007521194989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0.12345234716243569</v>
      </c>
      <c r="AH34" s="99">
        <v>0.87628755299497296</v>
      </c>
      <c r="AI34" s="99">
        <v>1.1942216335710611</v>
      </c>
      <c r="AJ34" s="99">
        <v>0.90551990326550535</v>
      </c>
      <c r="AK34" s="99">
        <v>0.61261303839653836</v>
      </c>
      <c r="AL34" s="100">
        <v>0.43027819082406915</v>
      </c>
      <c r="AM34" s="103">
        <f>'aij-UNIFAC (LLE)'!$D21*(1-LN(U34)-AG34)</f>
        <v>-0.28157751737898118</v>
      </c>
      <c r="AN34" s="104">
        <f>'aij-UNIFAC (LLE)'!$D21*(1-LN(V34)-AH34)</f>
        <v>0.24881342129519302</v>
      </c>
      <c r="AO34" s="104">
        <f>'aij-UNIFAC (LLE)'!$D21*(1-LN(W34)-AI34)</f>
        <v>0.8770076570813875</v>
      </c>
      <c r="AP34" s="104">
        <f>'aij-UNIFAC (LLE)'!$D21*(1-LN(X34)-AJ34)</f>
        <v>1.186046693973329</v>
      </c>
      <c r="AQ34" s="104">
        <f>'aij-UNIFAC (LLE)'!$D21*(1-LN(Y34)-AK34)</f>
        <v>0.86993879801027796</v>
      </c>
      <c r="AR34" s="105">
        <f>'aij-UNIFAC (LLE)'!$D21*(1-LN(Z34)-AL34)</f>
        <v>-0.24578784360557285</v>
      </c>
      <c r="AS34" s="5"/>
      <c r="AT34" s="35"/>
    </row>
    <row r="35" spans="1:46" s="72" customFormat="1" ht="12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1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8.8083679007636306E-2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0.33333333333333331</v>
      </c>
      <c r="L35" s="96">
        <f t="shared" si="4"/>
        <v>0</v>
      </c>
      <c r="M35" s="96">
        <f t="shared" si="5"/>
        <v>0</v>
      </c>
      <c r="N35" s="97">
        <f t="shared" si="6"/>
        <v>6.0573273948763398E-2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0.46860643185298623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6.2978604591404558E-2</v>
      </c>
      <c r="U35" s="95">
        <v>4.7681836853391824</v>
      </c>
      <c r="V35" s="96">
        <v>0.31027104103102338</v>
      </c>
      <c r="W35" s="96">
        <v>0.80154335053825343</v>
      </c>
      <c r="X35" s="99">
        <v>0.33292844711013897</v>
      </c>
      <c r="Y35" s="99">
        <v>0.62653546945671312</v>
      </c>
      <c r="Z35" s="100">
        <v>3.194083298709339</v>
      </c>
      <c r="AA35" s="101">
        <f t="shared" si="7"/>
        <v>0</v>
      </c>
      <c r="AB35" s="102">
        <f t="shared" si="8"/>
        <v>0</v>
      </c>
      <c r="AC35" s="102">
        <f t="shared" si="9"/>
        <v>0.58463017819099494</v>
      </c>
      <c r="AD35" s="102">
        <f t="shared" si="10"/>
        <v>0</v>
      </c>
      <c r="AE35" s="102">
        <f t="shared" si="11"/>
        <v>0</v>
      </c>
      <c r="AF35" s="97">
        <f t="shared" si="12"/>
        <v>1.9717270559867009E-2</v>
      </c>
      <c r="AG35" s="95">
        <v>0.11216044139014483</v>
      </c>
      <c r="AH35" s="99">
        <v>1.1807551338987317</v>
      </c>
      <c r="AI35" s="99">
        <v>0.58750448836174884</v>
      </c>
      <c r="AJ35" s="99">
        <v>0.49180440802319614</v>
      </c>
      <c r="AK35" s="99">
        <v>2.8816141817132788E-3</v>
      </c>
      <c r="AL35" s="100">
        <v>0.25263144825960571</v>
      </c>
      <c r="AM35" s="103">
        <f>'aij-UNIFAC (LLE)'!$D22*(1-LN(U35)-AG35)</f>
        <v>-0.82513009550554195</v>
      </c>
      <c r="AN35" s="104">
        <f>'aij-UNIFAC (LLE)'!$D22*(1-LN(V35)-AH35)</f>
        <v>1.2112139781262736</v>
      </c>
      <c r="AO35" s="104">
        <f>'aij-UNIFAC (LLE)'!$D22*(1-LN(W35)-AI35)</f>
        <v>0.77566316152648873</v>
      </c>
      <c r="AP35" s="104">
        <f>'aij-UNIFAC (LLE)'!$D22*(1-LN(X35)-AJ35)</f>
        <v>1.9682204917949466</v>
      </c>
      <c r="AQ35" s="104">
        <f>'aij-UNIFAC (LLE)'!$D22*(1-LN(Y35)-AK35)</f>
        <v>1.7927539708188094</v>
      </c>
      <c r="AR35" s="105">
        <f>'aij-UNIFAC (LLE)'!$D22*(1-LN(Z35)-AL35)</f>
        <v>-0.50665225080926324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1.0214236442902456</v>
      </c>
      <c r="V36" s="96">
        <v>0.23576198450975219</v>
      </c>
      <c r="W36" s="96">
        <v>0.71556710664397005</v>
      </c>
      <c r="X36" s="99">
        <v>0.56803318687010551</v>
      </c>
      <c r="Y36" s="99">
        <v>3.8332944566444621E-2</v>
      </c>
      <c r="Z36" s="100">
        <v>0.79685195843100998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0.27408556450075916</v>
      </c>
      <c r="AH36" s="99">
        <v>2.2643336613466358</v>
      </c>
      <c r="AI36" s="99">
        <v>2.9235825328442409</v>
      </c>
      <c r="AJ36" s="99">
        <v>1.6909569457299176</v>
      </c>
      <c r="AK36" s="99">
        <v>2.9259542322852581</v>
      </c>
      <c r="AL36" s="100">
        <v>1.4556755237673054</v>
      </c>
      <c r="AM36" s="103">
        <f>'aij-UNIFAC (LLE)'!$D23*(1-LN(U36)-AG36)</f>
        <v>1.2177510652201995</v>
      </c>
      <c r="AN36" s="104">
        <f>'aij-UNIFAC (LLE)'!$D23*(1-LN(V36)-AH36)</f>
        <v>0.31207483308964307</v>
      </c>
      <c r="AO36" s="104">
        <f>'aij-UNIFAC (LLE)'!$D23*(1-LN(W36)-AI36)</f>
        <v>-2.7456237590159471</v>
      </c>
      <c r="AP36" s="104">
        <f>'aij-UNIFAC (LLE)'!$D23*(1-LN(X36)-AJ36)</f>
        <v>-0.21665925161335459</v>
      </c>
      <c r="AQ36" s="104">
        <f>'aij-UNIFAC (LLE)'!$D23*(1-LN(Y36)-AK36)</f>
        <v>2.3077290507230974</v>
      </c>
      <c r="AR36" s="105">
        <f>'aij-UNIFAC (LLE)'!$D23*(1-LN(Z36)-AL36)</f>
        <v>-0.39500206468498361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0.80568233560535418</v>
      </c>
      <c r="V37" s="96">
        <v>0.56081640250497333</v>
      </c>
      <c r="W37" s="96">
        <v>0.70563370700550954</v>
      </c>
      <c r="X37" s="99">
        <v>0.63016099604652698</v>
      </c>
      <c r="Y37" s="99">
        <v>0.10853372971080172</v>
      </c>
      <c r="Z37" s="100">
        <v>0.73505570814554289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0.4898114796574779</v>
      </c>
      <c r="AH37" s="99">
        <v>0.7070327093579295</v>
      </c>
      <c r="AI37" s="99">
        <v>1.0439878405031553E-2</v>
      </c>
      <c r="AJ37" s="99">
        <v>0.56336303611176775</v>
      </c>
      <c r="AK37" s="99">
        <v>5.1479339534634396E-3</v>
      </c>
      <c r="AL37" s="100">
        <v>0.54808500726667286</v>
      </c>
      <c r="AM37" s="103">
        <f>'aij-UNIFAC (LLE)'!$D24*(1-LN(U37)-AG37)</f>
        <v>0.5664783220704207</v>
      </c>
      <c r="AN37" s="104">
        <f>'aij-UNIFAC (LLE)'!$D24*(1-LN(V37)-AH37)</f>
        <v>0.67963660902347767</v>
      </c>
      <c r="AO37" s="104">
        <f>'aij-UNIFAC (LLE)'!$D24*(1-LN(W37)-AI37)</f>
        <v>1.0438109185343498</v>
      </c>
      <c r="AP37" s="104">
        <f>'aij-UNIFAC (LLE)'!$D24*(1-LN(X37)-AJ37)</f>
        <v>0.700765187344361</v>
      </c>
      <c r="AQ37" s="104">
        <f>'aij-UNIFAC (LLE)'!$D24*(1-LN(Y37)-AK37)</f>
        <v>2.5081261510098423</v>
      </c>
      <c r="AR37" s="105">
        <f>'aij-UNIFAC (LLE)'!$D24*(1-LN(Z37)-AL37)</f>
        <v>0.59258470594401413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0.28842104855631745</v>
      </c>
      <c r="V38" s="96">
        <v>2.5135432108436015</v>
      </c>
      <c r="W38" s="96">
        <v>1.2059028302578989</v>
      </c>
      <c r="X38" s="99">
        <v>1.3060497894358567</v>
      </c>
      <c r="Y38" s="99">
        <v>2.2660644591285211</v>
      </c>
      <c r="Z38" s="100">
        <v>0.9313319945507984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8.3466179238351382E-2</v>
      </c>
      <c r="AH38" s="99">
        <v>0.62268936364154026</v>
      </c>
      <c r="AI38" s="99">
        <v>1.0430429270683939</v>
      </c>
      <c r="AJ38" s="99">
        <v>0.98789414114954543</v>
      </c>
      <c r="AK38" s="99">
        <v>0.91066783999947831</v>
      </c>
      <c r="AL38" s="100">
        <v>0.44716861818575554</v>
      </c>
      <c r="AM38" s="103">
        <f>'aij-UNIFAC (LLE)'!$D25*(1-LN(U38)-AG38)</f>
        <v>3.6372172288565623</v>
      </c>
      <c r="AN38" s="104">
        <f>'aij-UNIFAC (LLE)'!$D25*(1-LN(V38)-AH38)</f>
        <v>-0.91674056640453072</v>
      </c>
      <c r="AO38" s="104">
        <f>'aij-UNIFAC (LLE)'!$D25*(1-LN(W38)-AI38)</f>
        <v>-0.38777712213989618</v>
      </c>
      <c r="AP38" s="104">
        <f>'aij-UNIFAC (LLE)'!$D25*(1-LN(X38)-AJ38)</f>
        <v>-0.42925378059141678</v>
      </c>
      <c r="AQ38" s="104">
        <f>'aij-UNIFAC (LLE)'!$D25*(1-LN(Y38)-AK38)</f>
        <v>-1.2271517631360123</v>
      </c>
      <c r="AR38" s="105">
        <f>'aij-UNIFAC (LLE)'!$D25*(1-LN(Z38)-AL38)</f>
        <v>1.05076690658176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0.30218584686982602</v>
      </c>
      <c r="V39" s="96">
        <v>0.96758419129831608</v>
      </c>
      <c r="W39" s="96">
        <v>0.91691619168731142</v>
      </c>
      <c r="X39" s="99">
        <v>1.6726635807210728</v>
      </c>
      <c r="Y39" s="99">
        <v>0.97515863050911167</v>
      </c>
      <c r="Z39" s="100">
        <v>0.54018517033531133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6.9919839998489608E-2</v>
      </c>
      <c r="AH39" s="99">
        <v>13.891086416940478</v>
      </c>
      <c r="AI39" s="99">
        <v>1.097699160913004</v>
      </c>
      <c r="AJ39" s="99">
        <v>0.68520511963140052</v>
      </c>
      <c r="AK39" s="99">
        <v>0.93127024594904473</v>
      </c>
      <c r="AL39" s="100">
        <v>1.8340687659624657</v>
      </c>
      <c r="AM39" s="103">
        <f>'aij-UNIFAC (LLE)'!$D26*(1-LN(U39)-AG39)</f>
        <v>4.6449164009878237</v>
      </c>
      <c r="AN39" s="104">
        <f>'aij-UNIFAC (LLE)'!$D26*(1-LN(V39)-AH39)</f>
        <v>-28.082163735457307</v>
      </c>
      <c r="AO39" s="104">
        <f>'aij-UNIFAC (LLE)'!$D26*(1-LN(W39)-AI39)</f>
        <v>-2.3936543892263337E-2</v>
      </c>
      <c r="AP39" s="104">
        <f>'aij-UNIFAC (LLE)'!$D26*(1-LN(X39)-AJ39)</f>
        <v>-0.4359753958127468</v>
      </c>
      <c r="AQ39" s="104">
        <f>'aij-UNIFAC (LLE)'!$D26*(1-LN(Y39)-AK39)</f>
        <v>0.20504457204735332</v>
      </c>
      <c r="AR39" s="105">
        <f>'aij-UNIFAC (LLE)'!$D26*(1-LN(Z39)-AL39)</f>
        <v>-0.47660443911986067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1.4452336507704617</v>
      </c>
      <c r="V40" s="108">
        <v>4.0894485001092669E-2</v>
      </c>
      <c r="W40" s="108">
        <v>4.5655595812408183E-2</v>
      </c>
      <c r="X40" s="111">
        <v>0.59734490828245557</v>
      </c>
      <c r="Y40" s="111">
        <v>4.8509596852346293E-2</v>
      </c>
      <c r="Z40" s="112">
        <v>0.92919851900237849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2.2351160285015359</v>
      </c>
      <c r="AH40" s="111">
        <v>0.34580717293798408</v>
      </c>
      <c r="AI40" s="111">
        <v>0.61259828440755737</v>
      </c>
      <c r="AJ40" s="111">
        <v>1.3794246318612051</v>
      </c>
      <c r="AK40" s="111">
        <v>0.55452904712035056</v>
      </c>
      <c r="AL40" s="112">
        <v>2.3731067758245383</v>
      </c>
      <c r="AM40" s="115">
        <f>'aij-UNIFAC (LLE)'!$D27*(1-LN(U40)-AG40)</f>
        <v>-1.3083638189520377</v>
      </c>
      <c r="AN40" s="116">
        <f>'aij-UNIFAC (LLE)'!$D27*(1-LN(V40)-AH40)</f>
        <v>3.1423775607992588</v>
      </c>
      <c r="AO40" s="116">
        <f>'aij-UNIFAC (LLE)'!$D27*(1-LN(W40)-AI40)</f>
        <v>2.8348091444446197</v>
      </c>
      <c r="AP40" s="116">
        <f>'aij-UNIFAC (LLE)'!$D27*(1-LN(X40)-AJ40)</f>
        <v>0.11084214722531643</v>
      </c>
      <c r="AQ40" s="116">
        <f>'aij-UNIFAC (LLE)'!$D27*(1-LN(Y40)-AK40)</f>
        <v>2.8327150974827133</v>
      </c>
      <c r="AR40" s="117">
        <f>'aij-UNIFAC (LLE)'!$D27*(1-LN(Z40)-AL40)</f>
        <v>-1.0605339055789547</v>
      </c>
      <c r="AS40" s="5"/>
      <c r="AT40" s="5"/>
    </row>
    <row r="41" spans="1:46">
      <c r="A41" s="82" t="s">
        <v>141</v>
      </c>
      <c r="B41" s="83">
        <f>B21*SUM(B23:B40)</f>
        <v>0.77291631056509436</v>
      </c>
      <c r="C41" s="83">
        <f>C21*SUM(C23:C40)</f>
        <v>0.41700003128180807</v>
      </c>
      <c r="D41" s="83">
        <f>D21*SUM(D23:D40)</f>
        <v>0.26425103702290892</v>
      </c>
      <c r="E41" s="83">
        <f>E21*SUM(E23:E40)</f>
        <v>7.0000000000000001E-20</v>
      </c>
      <c r="F41" s="83">
        <f>F21*SUM(F23:F40)</f>
        <v>9.9999999999999995E-21</v>
      </c>
      <c r="G41" s="83">
        <f>SUM(B41:F41)</f>
        <v>1.4541673788698115</v>
      </c>
      <c r="H41" s="118" t="s">
        <v>142</v>
      </c>
      <c r="I41" s="36">
        <f t="array" ref="I41">SUM(I23:I40*_QL)</f>
        <v>1.4</v>
      </c>
      <c r="J41" s="36">
        <f t="array" ref="J41">SUM(J23:J40*_QL)</f>
        <v>0.95866666666666656</v>
      </c>
      <c r="K41" s="36">
        <f t="array" ref="K41">SUM(K23:K40*_QL)</f>
        <v>0.87066666666666659</v>
      </c>
      <c r="L41" s="36">
        <f t="array" ref="L41">SUM(L23:L40*_QL)</f>
        <v>0.50114285714285722</v>
      </c>
      <c r="M41" s="36">
        <f t="array" ref="M41">SUM(M23:M40*_QL)</f>
        <v>0.84799999999999998</v>
      </c>
      <c r="N41" s="36">
        <f t="array" ref="N41">SUM(N23:N40*_QL)</f>
        <v>1.1772519857228687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143</v>
      </c>
      <c r="B42" s="119">
        <f>SUM(B23:B40)</f>
        <v>1</v>
      </c>
      <c r="C42" s="119">
        <f>SUM(C23:C40)</f>
        <v>3</v>
      </c>
      <c r="D42" s="119">
        <f>SUM(D23:D40)</f>
        <v>3</v>
      </c>
      <c r="E42" s="119">
        <f>SUM(E23:E40)</f>
        <v>7</v>
      </c>
      <c r="F42" s="119">
        <f>SUM(F23:F40)</f>
        <v>1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1.4</v>
      </c>
      <c r="C44" s="58">
        <f t="array" ref="C44">SUM(C23:C40*_QL)</f>
        <v>2.8759999999999999</v>
      </c>
      <c r="D44" s="58">
        <f t="array" ref="D44">SUM(D23:D40*_QL)</f>
        <v>2.6120000000000001</v>
      </c>
      <c r="E44" s="58">
        <f t="array" ref="E44">SUM(E23:E40*_QL)</f>
        <v>3.508</v>
      </c>
      <c r="F44" s="58">
        <f t="array" ref="F44">SUM(F23:F40*_QL)</f>
        <v>0.84799999999999998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0.92</v>
      </c>
      <c r="C45" s="58">
        <f t="array" ref="C45">SUM(C23:C40*_RL)</f>
        <v>3.2479</v>
      </c>
      <c r="D45" s="58">
        <f t="array" ref="D45">SUM(D23:D40*_RL)</f>
        <v>2.8767999999999998</v>
      </c>
      <c r="E45" s="58">
        <f t="array" ref="E45">SUM(E23:E40*_RL)</f>
        <v>4.5972</v>
      </c>
      <c r="F45" s="58">
        <f t="array" ref="F45">SUM(F23:F40*_RL)</f>
        <v>0.90110000000000001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144</v>
      </c>
      <c r="B46" s="58">
        <f>B21*B44/SUMPRODUCT($B44:$F44,$B21:$F21)</f>
        <v>0.63208673779081037</v>
      </c>
      <c r="C46" s="58">
        <f>C21*C44/SUMPRODUCT($B44:$F44,$B21:$F21)</f>
        <v>0.23351774326086555</v>
      </c>
      <c r="D46" s="58">
        <f>D21*D44/SUMPRODUCT($B44:$F44,$B21:$F21)</f>
        <v>0.13439551894832411</v>
      </c>
      <c r="E46" s="58">
        <f>E21*E44/SUMPRODUCT($B44:$F44,$B21:$F21)</f>
        <v>2.0491594588487919E-20</v>
      </c>
      <c r="F46" s="58">
        <f>F21*F44/SUMPRODUCT($B44:$F44,$B21:$F21)</f>
        <v>4.9534983497827117E-21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145</v>
      </c>
      <c r="B47" s="58">
        <f>B21*B45/SUMPRODUCT($B45:$F45,$B21:$F21)</f>
        <v>0.50219844870137664</v>
      </c>
      <c r="C47" s="58">
        <f>C21*C45/SUMPRODUCT($B45:$F45,$B21:$F21)</f>
        <v>0.31883981568644121</v>
      </c>
      <c r="D47" s="58">
        <f>D21*D45/SUMPRODUCT($B45:$F45,$B21:$F21)</f>
        <v>0.17896173561218212</v>
      </c>
      <c r="E47" s="58">
        <f>E21*E45/SUMPRODUCT($B45:$F45,$B21:$F21)</f>
        <v>3.2467471305022659E-20</v>
      </c>
      <c r="F47" s="58">
        <f>F21*F45/SUMPRODUCT($B45:$F45,$B21:$F21)</f>
        <v>6.3639690230914289E-21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146</v>
      </c>
      <c r="B48" s="58">
        <f>LN(B47/B21)+(1-B47/B21)-5*B44*(LN(B47/B46)+(1-B47/B46))</f>
        <v>9.0859853035102189E-2</v>
      </c>
      <c r="C48" s="58">
        <f>LN(C47/C21)+(1-C47/C21)-5*C44*(LN(C47/C46)+(1-C47/C46))</f>
        <v>0.31215386512665166</v>
      </c>
      <c r="D48" s="58">
        <f>LN(D47/D21)+(1-D47/D21)-5*D44*(LN(D47/D46)+(1-D47/D46))</f>
        <v>0.26773384350439033</v>
      </c>
      <c r="E48" s="58">
        <f>LN(E47/E21)+(1-E47/E21)-5*E44*(LN(E47/E46)+(1-E47/E46))</f>
        <v>1.1094588917353705</v>
      </c>
      <c r="F48" s="58">
        <f>LN(F47/F21)+(1-F47/F21)-5*F44*(LN(F47/F46)+(1-F47/F46))</f>
        <v>5.6611059229429217E-2</v>
      </c>
      <c r="G48" s="121"/>
      <c r="I48" s="122"/>
    </row>
    <row r="49" spans="1:7">
      <c r="A49" s="72" t="s">
        <v>147</v>
      </c>
      <c r="B49" s="58">
        <f t="array" ref="B49">SUM(B23:B35*AM23:AM35)</f>
        <v>0</v>
      </c>
      <c r="C49" s="58">
        <f t="array" ref="C49">SUM(C23:C35*AN23:AN35)</f>
        <v>0.8719362678120175</v>
      </c>
      <c r="D49" s="58">
        <f t="array" ref="D49">SUM(D23:D35*AO23:AO35)</f>
        <v>1.1448122942285397</v>
      </c>
      <c r="E49" s="58">
        <f t="array" ref="E49">SUM(E23:E35*AP23:AP35)</f>
        <v>-3.890077890700059E-2</v>
      </c>
      <c r="F49" s="58">
        <f t="array" ref="F49">SUM(F23:F35*AQ23:AQ35)</f>
        <v>0</v>
      </c>
      <c r="G49" s="121"/>
    </row>
    <row r="50" spans="1:7">
      <c r="A50" s="72" t="s">
        <v>148</v>
      </c>
      <c r="B50" s="58">
        <f t="array" ref="B50">SUM(B23:B35*$AR23:$AR35)</f>
        <v>0.12043477247107845</v>
      </c>
      <c r="C50" s="58">
        <f t="array" ref="C50">SUM(C23:C35*$AR23:$AR35)</f>
        <v>2.0729868450111573</v>
      </c>
      <c r="D50" s="58">
        <f t="array" ref="D50">SUM(D23:D35*$AR23:$AR35)</f>
        <v>1.3059074248244169</v>
      </c>
      <c r="E50" s="58">
        <f t="array" ref="E50">SUM(E23:E35*$AR23:$AR35)</f>
        <v>3.9887966041792522</v>
      </c>
      <c r="F50" s="58">
        <f t="array" ref="F50">SUM(F23:F35*$AR23:$AR35)</f>
        <v>1.1073851620586173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X62"/>
  <sheetViews>
    <sheetView topLeftCell="A21" zoomScale="150" zoomScaleNormal="150" zoomScalePageLayoutView="15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5" x14ac:dyDescent="0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177</v>
      </c>
      <c r="K1"/>
    </row>
    <row r="2" spans="1:23">
      <c r="A2" s="123" t="s">
        <v>151</v>
      </c>
      <c r="K2"/>
    </row>
    <row r="3" spans="1:23" s="123" customFormat="1" ht="12">
      <c r="A3" s="123" t="s">
        <v>178</v>
      </c>
      <c r="K3"/>
    </row>
    <row r="4" spans="1:23" s="123" customFormat="1" ht="12">
      <c r="A4" s="123" t="s">
        <v>152</v>
      </c>
      <c r="K4"/>
    </row>
    <row r="5" spans="1:23" s="123" customFormat="1" ht="12">
      <c r="A5" s="123" t="s">
        <v>153</v>
      </c>
      <c r="J5" s="123" t="s">
        <v>179</v>
      </c>
      <c r="K5"/>
    </row>
    <row r="6" spans="1:23" s="123" customFormat="1" ht="12">
      <c r="A6" s="5" t="s">
        <v>154</v>
      </c>
      <c r="B6" s="123">
        <f>'UNIFAC (LLEa)'!B11</f>
        <v>25</v>
      </c>
      <c r="C6" s="123" t="s">
        <v>127</v>
      </c>
      <c r="J6" s="139" t="s">
        <v>180</v>
      </c>
      <c r="K6"/>
    </row>
    <row r="7" spans="1:23">
      <c r="B7"/>
      <c r="C7"/>
      <c r="D7" s="43"/>
      <c r="E7" s="124" t="s">
        <v>155</v>
      </c>
      <c r="F7" s="43"/>
      <c r="G7" s="43"/>
      <c r="H7" s="43"/>
      <c r="I7" s="148" t="s">
        <v>181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2">
      <c r="A8" s="150" t="s">
        <v>156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157</v>
      </c>
      <c r="B9"/>
      <c r="C9" s="125" t="s">
        <v>158</v>
      </c>
      <c r="D9" s="125" t="s">
        <v>133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159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160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161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162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163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164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165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243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167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168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169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170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173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171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182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183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174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172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175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1.4696747042862897</v>
      </c>
      <c r="I31" s="59">
        <f t="shared" si="4"/>
        <v>1.4741177886932793</v>
      </c>
      <c r="J31" s="59">
        <f t="shared" si="4"/>
        <v>1.4741177886932793</v>
      </c>
      <c r="K31" s="59">
        <f t="shared" si="4"/>
        <v>0.11509481710145264</v>
      </c>
      <c r="L31" s="59">
        <f t="shared" si="4"/>
        <v>0.35271570801530017</v>
      </c>
      <c r="M31" s="59">
        <f t="shared" si="4"/>
        <v>1.2775559273734912E-2</v>
      </c>
      <c r="N31" s="59">
        <f t="shared" si="4"/>
        <v>5.1915552327153427E-4</v>
      </c>
      <c r="O31" s="59">
        <f t="shared" si="4"/>
        <v>0.20492562572161924</v>
      </c>
      <c r="P31" s="59">
        <f t="shared" si="4"/>
        <v>0.58844606877609129</v>
      </c>
      <c r="Q31" s="59">
        <f t="shared" si="4"/>
        <v>0.62653546945671312</v>
      </c>
      <c r="R31" s="59">
        <f t="shared" si="4"/>
        <v>3.8332944566444621E-2</v>
      </c>
      <c r="S31" s="59">
        <f t="shared" si="4"/>
        <v>0.10853372971080172</v>
      </c>
      <c r="T31" s="59">
        <f t="shared" si="4"/>
        <v>2.2660644591285211</v>
      </c>
      <c r="U31" s="59">
        <f t="shared" si="4"/>
        <v>0.97515863050911167</v>
      </c>
      <c r="V31" s="59">
        <f t="shared" si="4"/>
        <v>4.8509596852346293E-2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1.4696747042862897</v>
      </c>
      <c r="I32" s="59">
        <f t="shared" si="5"/>
        <v>1.4741177886932793</v>
      </c>
      <c r="J32" s="59">
        <f t="shared" si="5"/>
        <v>1.4741177886932793</v>
      </c>
      <c r="K32" s="59">
        <f t="shared" si="5"/>
        <v>0.11509481710145264</v>
      </c>
      <c r="L32" s="59">
        <f t="shared" si="5"/>
        <v>0.35271570801530017</v>
      </c>
      <c r="M32" s="59">
        <f t="shared" si="5"/>
        <v>1.2775559273734912E-2</v>
      </c>
      <c r="N32" s="59">
        <f t="shared" si="5"/>
        <v>5.1915552327153427E-4</v>
      </c>
      <c r="O32" s="59">
        <f t="shared" si="5"/>
        <v>0.20492562572161924</v>
      </c>
      <c r="P32" s="59">
        <f t="shared" si="5"/>
        <v>0.58844606877609129</v>
      </c>
      <c r="Q32" s="59">
        <f t="shared" si="5"/>
        <v>0.62653546945671312</v>
      </c>
      <c r="R32" s="59">
        <f t="shared" si="5"/>
        <v>3.8332944566444621E-2</v>
      </c>
      <c r="S32" s="59">
        <f t="shared" si="5"/>
        <v>0.10853372971080172</v>
      </c>
      <c r="T32" s="59">
        <f t="shared" si="5"/>
        <v>2.2660644591285211</v>
      </c>
      <c r="U32" s="59">
        <f t="shared" si="5"/>
        <v>0.97515863050911167</v>
      </c>
      <c r="V32" s="59">
        <f t="shared" si="5"/>
        <v>4.8509596852346293E-2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1.4696747042862897</v>
      </c>
      <c r="I33" s="59">
        <f t="shared" si="6"/>
        <v>1.4741177886932793</v>
      </c>
      <c r="J33" s="59">
        <f t="shared" si="6"/>
        <v>1.4741177886932793</v>
      </c>
      <c r="K33" s="59">
        <f t="shared" si="6"/>
        <v>0.11509481710145264</v>
      </c>
      <c r="L33" s="59">
        <f t="shared" si="6"/>
        <v>0.35271570801530017</v>
      </c>
      <c r="M33" s="59">
        <f t="shared" si="6"/>
        <v>1.2775559273734912E-2</v>
      </c>
      <c r="N33" s="59">
        <f t="shared" si="6"/>
        <v>5.1915552327153427E-4</v>
      </c>
      <c r="O33" s="59">
        <f t="shared" si="6"/>
        <v>0.20492562572161924</v>
      </c>
      <c r="P33" s="59">
        <f t="shared" si="6"/>
        <v>0.58844606877609129</v>
      </c>
      <c r="Q33" s="59">
        <f t="shared" si="6"/>
        <v>0.62653546945671312</v>
      </c>
      <c r="R33" s="59">
        <f t="shared" si="6"/>
        <v>3.8332944566444621E-2</v>
      </c>
      <c r="S33" s="59">
        <f t="shared" si="6"/>
        <v>0.10853372971080172</v>
      </c>
      <c r="T33" s="59">
        <f t="shared" si="6"/>
        <v>2.2660644591285211</v>
      </c>
      <c r="U33" s="59">
        <f t="shared" si="6"/>
        <v>0.97515863050911167</v>
      </c>
      <c r="V33" s="59">
        <f t="shared" si="6"/>
        <v>4.8509596852346293E-2</v>
      </c>
    </row>
    <row r="34" spans="2:24">
      <c r="B34"/>
      <c r="C34"/>
      <c r="D34" s="39" t="str">
        <f t="shared" si="2"/>
        <v>ACH</v>
      </c>
      <c r="E34" s="59">
        <f t="shared" si="3"/>
        <v>0.5916124096015547</v>
      </c>
      <c r="F34" s="59">
        <f t="shared" ref="F34:V34" si="7">EXP(-F13/($B$6+273.15))</f>
        <v>0.5916124096015547</v>
      </c>
      <c r="G34" s="59">
        <f t="shared" si="7"/>
        <v>0.5916124096015547</v>
      </c>
      <c r="H34" s="59">
        <f t="shared" si="7"/>
        <v>1</v>
      </c>
      <c r="I34" s="59">
        <f t="shared" si="7"/>
        <v>0.5711400976073886</v>
      </c>
      <c r="J34" s="59">
        <f t="shared" si="7"/>
        <v>0.5711400976073886</v>
      </c>
      <c r="K34" s="59">
        <f t="shared" si="7"/>
        <v>9.4336022025920424E-2</v>
      </c>
      <c r="L34" s="59">
        <f t="shared" si="7"/>
        <v>0.14424043450144222</v>
      </c>
      <c r="M34" s="59">
        <f t="shared" si="7"/>
        <v>5.5997864440543062E-2</v>
      </c>
      <c r="N34" s="59">
        <f t="shared" si="7"/>
        <v>3.9629241647007041E-3</v>
      </c>
      <c r="O34" s="59">
        <f t="shared" si="7"/>
        <v>0.13652062767587006</v>
      </c>
      <c r="P34" s="59">
        <f t="shared" si="7"/>
        <v>0.29666249871893907</v>
      </c>
      <c r="Q34" s="59">
        <f t="shared" si="7"/>
        <v>0.21248480702311395</v>
      </c>
      <c r="R34" s="59">
        <f t="shared" si="7"/>
        <v>0.98007703956319814</v>
      </c>
      <c r="S34" s="59">
        <f t="shared" si="7"/>
        <v>0.89780885632325491</v>
      </c>
      <c r="T34" s="59">
        <f t="shared" si="7"/>
        <v>1</v>
      </c>
      <c r="U34" s="59">
        <f t="shared" si="7"/>
        <v>2.176670490163914</v>
      </c>
      <c r="V34" s="59">
        <f t="shared" si="7"/>
        <v>0.99451451357559373</v>
      </c>
    </row>
    <row r="35" spans="2:24">
      <c r="B35"/>
      <c r="C35"/>
      <c r="D35" s="39" t="str">
        <f t="shared" si="2"/>
        <v>ACCH2</v>
      </c>
      <c r="E35" s="59">
        <f t="shared" si="3"/>
        <v>0.70457583072813879</v>
      </c>
      <c r="F35" s="59">
        <f t="shared" ref="F35:V35" si="8">EXP(-F14/($B$6+273.15))</f>
        <v>0.70457583072813879</v>
      </c>
      <c r="G35" s="59">
        <f t="shared" si="8"/>
        <v>0.70457583072813879</v>
      </c>
      <c r="H35" s="59">
        <f t="shared" si="8"/>
        <v>1.6361887634574031</v>
      </c>
      <c r="I35" s="59">
        <f t="shared" si="8"/>
        <v>1</v>
      </c>
      <c r="J35" s="59">
        <f t="shared" si="8"/>
        <v>1</v>
      </c>
      <c r="K35" s="59">
        <f t="shared" si="8"/>
        <v>1.4909966951418539E-6</v>
      </c>
      <c r="L35" s="59">
        <f t="shared" si="8"/>
        <v>4.7766911703025834E-2</v>
      </c>
      <c r="M35" s="59">
        <f t="shared" si="8"/>
        <v>5.0639268591451167E-9</v>
      </c>
      <c r="N35" s="59">
        <f t="shared" si="8"/>
        <v>0.37479157452711731</v>
      </c>
      <c r="O35" s="59">
        <f t="shared" si="8"/>
        <v>4.6206866533516501E-2</v>
      </c>
      <c r="P35" s="59">
        <f t="shared" si="8"/>
        <v>1.6819909289924884E-2</v>
      </c>
      <c r="Q35" s="59">
        <f t="shared" si="8"/>
        <v>0.32066863684370772</v>
      </c>
      <c r="R35" s="59">
        <f t="shared" si="8"/>
        <v>5.184224977177369E-9</v>
      </c>
      <c r="S35" s="59">
        <f t="shared" si="8"/>
        <v>0.48931887680294972</v>
      </c>
      <c r="T35" s="59">
        <f t="shared" si="8"/>
        <v>1</v>
      </c>
      <c r="U35" s="59">
        <f t="shared" si="8"/>
        <v>1.0415580941969227</v>
      </c>
      <c r="V35" s="59">
        <f t="shared" si="8"/>
        <v>9.8970868140722534E-2</v>
      </c>
    </row>
    <row r="36" spans="2:24">
      <c r="B36"/>
      <c r="C36"/>
      <c r="D36" s="39" t="str">
        <f t="shared" si="2"/>
        <v>ACCH3</v>
      </c>
      <c r="E36" s="59">
        <f t="shared" si="3"/>
        <v>0.70457583072813879</v>
      </c>
      <c r="F36" s="59">
        <f t="shared" ref="F36:V36" si="9">EXP(-F15/($B$6+273.15))</f>
        <v>0.70457583072813879</v>
      </c>
      <c r="G36" s="59">
        <f t="shared" si="9"/>
        <v>0.70457583072813879</v>
      </c>
      <c r="H36" s="59">
        <f t="shared" si="9"/>
        <v>1.6361887634574031</v>
      </c>
      <c r="I36" s="59">
        <f t="shared" si="9"/>
        <v>1</v>
      </c>
      <c r="J36" s="59">
        <f t="shared" si="9"/>
        <v>1</v>
      </c>
      <c r="K36" s="59">
        <f t="shared" si="9"/>
        <v>1.4909966951418539E-6</v>
      </c>
      <c r="L36" s="59">
        <f t="shared" si="9"/>
        <v>4.7766911703025834E-2</v>
      </c>
      <c r="M36" s="59">
        <f t="shared" si="9"/>
        <v>5.0639268591451167E-9</v>
      </c>
      <c r="N36" s="59">
        <f t="shared" si="9"/>
        <v>0.37479157452711731</v>
      </c>
      <c r="O36" s="59">
        <f t="shared" si="9"/>
        <v>4.6206866533516501E-2</v>
      </c>
      <c r="P36" s="59">
        <f t="shared" si="9"/>
        <v>1.6819909289924884E-2</v>
      </c>
      <c r="Q36" s="59">
        <f t="shared" si="9"/>
        <v>0.32066863684370772</v>
      </c>
      <c r="R36" s="59">
        <f t="shared" si="9"/>
        <v>5.184224977177369E-9</v>
      </c>
      <c r="S36" s="59">
        <f t="shared" si="9"/>
        <v>0.48931887680294972</v>
      </c>
      <c r="T36" s="59">
        <f t="shared" si="9"/>
        <v>1</v>
      </c>
      <c r="U36" s="59">
        <f t="shared" si="9"/>
        <v>1.0415580941969227</v>
      </c>
      <c r="V36" s="59">
        <f t="shared" si="9"/>
        <v>9.8970868140722534E-2</v>
      </c>
    </row>
    <row r="37" spans="2:24">
      <c r="B37"/>
      <c r="C37"/>
      <c r="D37" s="39" t="str">
        <f t="shared" si="2"/>
        <v>OH</v>
      </c>
      <c r="E37" s="59">
        <f t="shared" si="3"/>
        <v>0.33260882012386883</v>
      </c>
      <c r="F37" s="59">
        <f t="shared" ref="F37:V37" si="10">EXP(-F16/($B$6+273.15))</f>
        <v>0.33260882012386883</v>
      </c>
      <c r="G37" s="59">
        <f t="shared" si="10"/>
        <v>0.33260882012386883</v>
      </c>
      <c r="H37" s="59">
        <f t="shared" si="10"/>
        <v>1.0313725534999616</v>
      </c>
      <c r="I37" s="59">
        <f t="shared" si="10"/>
        <v>0.99574945836028106</v>
      </c>
      <c r="J37" s="59">
        <f t="shared" si="10"/>
        <v>0.99574945836028106</v>
      </c>
      <c r="K37" s="59">
        <f t="shared" si="10"/>
        <v>1</v>
      </c>
      <c r="L37" s="59">
        <f t="shared" si="10"/>
        <v>3.5978401039748788E-2</v>
      </c>
      <c r="M37" s="59">
        <f t="shared" si="10"/>
        <v>0.90813621767355412</v>
      </c>
      <c r="N37" s="59">
        <f t="shared" si="10"/>
        <v>1.9265102642189265</v>
      </c>
      <c r="O37" s="59">
        <f t="shared" si="10"/>
        <v>0.79855304536071492</v>
      </c>
      <c r="P37" s="59">
        <f t="shared" si="10"/>
        <v>8.8635390176167745E-3</v>
      </c>
      <c r="Q37" s="59">
        <f t="shared" si="10"/>
        <v>1.417390789499327</v>
      </c>
      <c r="R37" s="59">
        <f t="shared" si="10"/>
        <v>0.51889921022698193</v>
      </c>
      <c r="S37" s="59">
        <f t="shared" si="10"/>
        <v>0.41460487774662197</v>
      </c>
      <c r="T37" s="59">
        <f t="shared" si="10"/>
        <v>0.40133320019561342</v>
      </c>
      <c r="U37" s="59">
        <f t="shared" si="10"/>
        <v>1.2293760839675769</v>
      </c>
      <c r="V37" s="59">
        <f t="shared" si="10"/>
        <v>3.2151323477687823</v>
      </c>
    </row>
    <row r="38" spans="2:24">
      <c r="B38"/>
      <c r="C38"/>
      <c r="D38" s="39" t="str">
        <f t="shared" si="2"/>
        <v>2-Propanol</v>
      </c>
      <c r="E38" s="59">
        <f t="shared" si="3"/>
        <v>1.5564300475353767</v>
      </c>
      <c r="F38" s="59">
        <f t="shared" ref="F38:V38" si="11">EXP(-F17/($B$6+273.15))</f>
        <v>1.5564300475353767</v>
      </c>
      <c r="G38" s="59">
        <f t="shared" si="11"/>
        <v>1.5564300475353767</v>
      </c>
      <c r="H38" s="59">
        <f t="shared" si="11"/>
        <v>2.3284717277556242</v>
      </c>
      <c r="I38" s="59">
        <f t="shared" si="11"/>
        <v>2.503422752546709</v>
      </c>
      <c r="J38" s="59">
        <f t="shared" si="11"/>
        <v>2.503422752546709</v>
      </c>
      <c r="K38" s="59">
        <f t="shared" si="11"/>
        <v>2.4634421444956272</v>
      </c>
      <c r="L38" s="59">
        <f t="shared" si="11"/>
        <v>1</v>
      </c>
      <c r="M38" s="59">
        <f t="shared" si="11"/>
        <v>0.98043869766926783</v>
      </c>
      <c r="N38" s="59">
        <f t="shared" si="11"/>
        <v>1.6716903795055331</v>
      </c>
      <c r="O38" s="59">
        <f t="shared" si="11"/>
        <v>0.30524180457528083</v>
      </c>
      <c r="P38" s="59">
        <f t="shared" si="11"/>
        <v>3.1132586179975883</v>
      </c>
      <c r="Q38" s="59">
        <f t="shared" si="11"/>
        <v>1.2146620292642423</v>
      </c>
      <c r="R38" s="59">
        <f t="shared" si="11"/>
        <v>0.19519789178701921</v>
      </c>
      <c r="S38" s="59">
        <f t="shared" si="11"/>
        <v>1.3503217571225403E-3</v>
      </c>
      <c r="T38" s="59">
        <f t="shared" si="11"/>
        <v>0.1821054169578796</v>
      </c>
      <c r="U38" s="59">
        <f t="shared" si="11"/>
        <v>5.6358833912332961E-3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0.31713896453518281</v>
      </c>
      <c r="F39" s="59">
        <f t="shared" ref="F39:V39" si="12">EXP(-F18/($B$6+273.15))</f>
        <v>0.31713896453518281</v>
      </c>
      <c r="G39" s="59">
        <f t="shared" si="12"/>
        <v>0.31713896453518281</v>
      </c>
      <c r="H39" s="59">
        <f t="shared" si="12"/>
        <v>0.2863967113010697</v>
      </c>
      <c r="I39" s="59">
        <f t="shared" si="12"/>
        <v>0.50499176955805858</v>
      </c>
      <c r="J39" s="59">
        <f t="shared" si="12"/>
        <v>0.50499176955805858</v>
      </c>
      <c r="K39" s="59">
        <f t="shared" si="12"/>
        <v>1.5076190398931841</v>
      </c>
      <c r="L39" s="59">
        <f t="shared" si="12"/>
        <v>0.7033952414758935</v>
      </c>
      <c r="M39" s="59">
        <f t="shared" si="12"/>
        <v>1</v>
      </c>
      <c r="N39" s="59">
        <f t="shared" si="12"/>
        <v>0.31491306519734752</v>
      </c>
      <c r="O39" s="59">
        <f t="shared" si="12"/>
        <v>1.7792999910100182</v>
      </c>
      <c r="P39" s="59">
        <f t="shared" si="12"/>
        <v>3.233516842020296</v>
      </c>
      <c r="Q39" s="59">
        <f t="shared" si="12"/>
        <v>4.7681836853391824</v>
      </c>
      <c r="R39" s="59">
        <f t="shared" si="12"/>
        <v>1.0214236442902456</v>
      </c>
      <c r="S39" s="59">
        <f t="shared" si="12"/>
        <v>0.80568233560535418</v>
      </c>
      <c r="T39" s="59">
        <f t="shared" si="12"/>
        <v>0.28842104855631745</v>
      </c>
      <c r="U39" s="59">
        <f t="shared" si="12"/>
        <v>0.30218584686982602</v>
      </c>
      <c r="V39" s="59">
        <f t="shared" si="12"/>
        <v>1.4452336507704617</v>
      </c>
    </row>
    <row r="40" spans="2:24">
      <c r="B40"/>
      <c r="C40"/>
      <c r="D40" s="39" t="str">
        <f t="shared" si="2"/>
        <v>ACOH</v>
      </c>
      <c r="E40" s="59">
        <f t="shared" si="3"/>
        <v>1.7091083918547825</v>
      </c>
      <c r="F40" s="59">
        <f t="shared" ref="F40:V40" si="13">EXP(-F19/($B$6+273.15))</f>
        <v>1.7091083918547825</v>
      </c>
      <c r="G40" s="59">
        <f t="shared" si="13"/>
        <v>1.7091083918547825</v>
      </c>
      <c r="H40" s="59">
        <f t="shared" si="13"/>
        <v>4.8896492695242877</v>
      </c>
      <c r="I40" s="59">
        <f t="shared" si="13"/>
        <v>4.8439443194258684</v>
      </c>
      <c r="J40" s="59">
        <f t="shared" si="13"/>
        <v>4.8439443194258684</v>
      </c>
      <c r="K40" s="59">
        <f t="shared" si="13"/>
        <v>1.2359082660191609</v>
      </c>
      <c r="L40" s="59">
        <f t="shared" si="13"/>
        <v>6.2671254779685421</v>
      </c>
      <c r="M40" s="59">
        <f t="shared" si="13"/>
        <v>7.37914953953213</v>
      </c>
      <c r="N40" s="59">
        <f t="shared" si="13"/>
        <v>1</v>
      </c>
      <c r="O40" s="59">
        <f t="shared" si="13"/>
        <v>15.949243045075869</v>
      </c>
      <c r="P40" s="59">
        <f t="shared" si="13"/>
        <v>1</v>
      </c>
      <c r="Q40" s="59">
        <f t="shared" si="13"/>
        <v>1</v>
      </c>
      <c r="R40" s="59">
        <f t="shared" si="13"/>
        <v>20.346582532670528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17.396697611653959</v>
      </c>
    </row>
    <row r="41" spans="2:24">
      <c r="B41"/>
      <c r="C41"/>
      <c r="D41" s="39" t="str">
        <f t="shared" si="2"/>
        <v>CH3CO</v>
      </c>
      <c r="E41" s="59">
        <f t="shared" si="3"/>
        <v>0.79992017791999159</v>
      </c>
      <c r="F41" s="59">
        <f t="shared" ref="F41:V41" si="14">EXP(-F20/($B$6+273.15))</f>
        <v>0.79992017791999159</v>
      </c>
      <c r="G41" s="59">
        <f t="shared" si="14"/>
        <v>0.79992017791999159</v>
      </c>
      <c r="H41" s="59">
        <f t="shared" si="14"/>
        <v>1.3003754454967311</v>
      </c>
      <c r="I41" s="59">
        <f t="shared" si="14"/>
        <v>1.281153948448533</v>
      </c>
      <c r="J41" s="59">
        <f t="shared" si="14"/>
        <v>1.281153948448533</v>
      </c>
      <c r="K41" s="59">
        <f t="shared" si="14"/>
        <v>0.4845825162908462</v>
      </c>
      <c r="L41" s="59">
        <f t="shared" si="14"/>
        <v>1.534143886928111</v>
      </c>
      <c r="M41" s="59">
        <f t="shared" si="14"/>
        <v>0.11894077096783076</v>
      </c>
      <c r="N41" s="59">
        <f t="shared" si="14"/>
        <v>6.7199541721988698</v>
      </c>
      <c r="O41" s="59">
        <f t="shared" si="14"/>
        <v>1</v>
      </c>
      <c r="P41" s="59">
        <f t="shared" si="14"/>
        <v>1.1334953107589858</v>
      </c>
      <c r="Q41" s="59">
        <f t="shared" si="14"/>
        <v>1.5260942472651492E-2</v>
      </c>
      <c r="R41" s="59">
        <f t="shared" si="14"/>
        <v>0.41992294381170836</v>
      </c>
      <c r="S41" s="59">
        <f t="shared" si="14"/>
        <v>0.9827037343855578</v>
      </c>
      <c r="T41" s="59">
        <f t="shared" si="14"/>
        <v>2.744390326018689</v>
      </c>
      <c r="U41" s="59">
        <f t="shared" si="14"/>
        <v>0.96051878698071891</v>
      </c>
      <c r="V41" s="59">
        <f t="shared" si="14"/>
        <v>3.3791141419412529E-2</v>
      </c>
    </row>
    <row r="42" spans="2:24">
      <c r="B42"/>
      <c r="C42"/>
      <c r="D42" s="39" t="str">
        <f t="shared" si="2"/>
        <v>CHO</v>
      </c>
      <c r="E42" s="59">
        <f t="shared" si="3"/>
        <v>0.61261303839653836</v>
      </c>
      <c r="F42" s="59">
        <f t="shared" ref="F42:V42" si="15">EXP(-F21/($B$6+273.15))</f>
        <v>0.61261303839653836</v>
      </c>
      <c r="G42" s="59">
        <f t="shared" si="15"/>
        <v>0.61261303839653836</v>
      </c>
      <c r="H42" s="59">
        <f t="shared" si="15"/>
        <v>1.2873134341372185</v>
      </c>
      <c r="I42" s="59">
        <f t="shared" si="15"/>
        <v>0.47302053917940379</v>
      </c>
      <c r="J42" s="59">
        <f t="shared" si="15"/>
        <v>0.47302053917940379</v>
      </c>
      <c r="K42" s="59">
        <f t="shared" si="15"/>
        <v>4.24859053147041</v>
      </c>
      <c r="L42" s="59">
        <f t="shared" si="15"/>
        <v>0.46018835634904781</v>
      </c>
      <c r="M42" s="59">
        <f t="shared" si="15"/>
        <v>0.12345234716243569</v>
      </c>
      <c r="N42" s="59">
        <f t="shared" si="15"/>
        <v>1</v>
      </c>
      <c r="O42" s="59">
        <f t="shared" si="15"/>
        <v>0.65095542959634878</v>
      </c>
      <c r="P42" s="59">
        <f t="shared" si="15"/>
        <v>1</v>
      </c>
      <c r="Q42" s="59">
        <f t="shared" si="15"/>
        <v>0.99748764892384423</v>
      </c>
      <c r="R42" s="59">
        <f t="shared" si="15"/>
        <v>2.2805513630823193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2.8816141817132788E-3</v>
      </c>
      <c r="F43" s="59">
        <f t="shared" ref="F43:V43" si="16">EXP(-F22/($B$6+273.15))</f>
        <v>2.8816141817132788E-3</v>
      </c>
      <c r="G43" s="59">
        <f t="shared" si="16"/>
        <v>2.8816141817132788E-3</v>
      </c>
      <c r="H43" s="59">
        <f t="shared" si="16"/>
        <v>0.77631671773566191</v>
      </c>
      <c r="I43" s="59">
        <f t="shared" si="16"/>
        <v>0.61015233662017676</v>
      </c>
      <c r="J43" s="59">
        <f t="shared" si="16"/>
        <v>0.61015233662017676</v>
      </c>
      <c r="K43" s="59">
        <f t="shared" si="16"/>
        <v>0.67225634470324835</v>
      </c>
      <c r="L43" s="59">
        <f t="shared" si="16"/>
        <v>0.31009172525587275</v>
      </c>
      <c r="M43" s="59">
        <f t="shared" si="16"/>
        <v>0.11216044139014483</v>
      </c>
      <c r="N43" s="59">
        <f t="shared" si="16"/>
        <v>1</v>
      </c>
      <c r="O43" s="59">
        <f t="shared" si="16"/>
        <v>1.4046130629676554</v>
      </c>
      <c r="P43" s="59">
        <f t="shared" si="16"/>
        <v>2.9449708329684059E-2</v>
      </c>
      <c r="Q43" s="59">
        <f t="shared" si="16"/>
        <v>1</v>
      </c>
      <c r="R43" s="59">
        <f t="shared" si="16"/>
        <v>1.4835417937057391</v>
      </c>
      <c r="S43" s="59">
        <f t="shared" si="16"/>
        <v>1.3827372760292467</v>
      </c>
      <c r="T43" s="59">
        <f t="shared" si="16"/>
        <v>3.6934014405593033E-3</v>
      </c>
      <c r="U43" s="59">
        <f t="shared" si="16"/>
        <v>0.85087002740245976</v>
      </c>
      <c r="V43" s="59">
        <f t="shared" si="16"/>
        <v>4.2419195940321508E-2</v>
      </c>
    </row>
    <row r="44" spans="2:24">
      <c r="B44"/>
      <c r="C44" s="43"/>
      <c r="D44" s="39" t="str">
        <f t="shared" si="2"/>
        <v>CH3COO</v>
      </c>
      <c r="E44" s="59">
        <f t="shared" si="3"/>
        <v>2.9259542322852581</v>
      </c>
      <c r="F44" s="59">
        <f t="shared" ref="F44:V44" si="17">EXP(-F23/($B$6+273.15))</f>
        <v>2.9259542322852581</v>
      </c>
      <c r="G44" s="59">
        <f t="shared" si="17"/>
        <v>2.9259542322852581</v>
      </c>
      <c r="H44" s="59">
        <f t="shared" si="17"/>
        <v>0.68042267930686384</v>
      </c>
      <c r="I44" s="59">
        <f t="shared" si="17"/>
        <v>1.7685903094005786</v>
      </c>
      <c r="J44" s="59">
        <f t="shared" si="17"/>
        <v>1.7685903094005786</v>
      </c>
      <c r="K44" s="59">
        <f t="shared" si="17"/>
        <v>0.54567300853745238</v>
      </c>
      <c r="L44" s="59">
        <f t="shared" si="17"/>
        <v>1.6694491324749547</v>
      </c>
      <c r="M44" s="59">
        <f t="shared" si="17"/>
        <v>0.27408556450075916</v>
      </c>
      <c r="N44" s="59">
        <f t="shared" si="17"/>
        <v>3.0997136721965686</v>
      </c>
      <c r="O44" s="59">
        <f t="shared" si="17"/>
        <v>0.82090299843410386</v>
      </c>
      <c r="P44" s="59">
        <f t="shared" si="17"/>
        <v>2.5838803280824833E-2</v>
      </c>
      <c r="Q44" s="59">
        <f t="shared" si="17"/>
        <v>8.6288737371991026E-3</v>
      </c>
      <c r="R44" s="59">
        <f t="shared" si="17"/>
        <v>1</v>
      </c>
      <c r="S44" s="59">
        <f t="shared" si="17"/>
        <v>2.2045902713578287</v>
      </c>
      <c r="T44" s="59">
        <f t="shared" si="17"/>
        <v>0.69402146487654326</v>
      </c>
      <c r="U44" s="59">
        <f t="shared" si="17"/>
        <v>2.0204843226297839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5.1479339534634396E-3</v>
      </c>
      <c r="F45" s="59">
        <f t="shared" ref="F45:V45" si="18">EXP(-F24/($B$6+273.15))</f>
        <v>5.1479339534634396E-3</v>
      </c>
      <c r="G45" s="59">
        <f t="shared" si="18"/>
        <v>5.1479339534634396E-3</v>
      </c>
      <c r="H45" s="59">
        <f t="shared" si="18"/>
        <v>0.8395872501795304</v>
      </c>
      <c r="I45" s="59">
        <f t="shared" si="18"/>
        <v>0.80225774928947757</v>
      </c>
      <c r="J45" s="59">
        <f t="shared" si="18"/>
        <v>0.80225774928947757</v>
      </c>
      <c r="K45" s="59">
        <f t="shared" si="18"/>
        <v>0.6313874034832152</v>
      </c>
      <c r="L45" s="59">
        <f t="shared" si="18"/>
        <v>2.0782183920836648</v>
      </c>
      <c r="M45" s="59">
        <f t="shared" si="18"/>
        <v>0.4898114796574779</v>
      </c>
      <c r="N45" s="59">
        <f t="shared" si="18"/>
        <v>1</v>
      </c>
      <c r="O45" s="59">
        <f t="shared" si="18"/>
        <v>0.83888354789052855</v>
      </c>
      <c r="P45" s="59">
        <f t="shared" si="18"/>
        <v>1</v>
      </c>
      <c r="Q45" s="59">
        <f t="shared" si="18"/>
        <v>9.0741003255865229E-3</v>
      </c>
      <c r="R45" s="59">
        <f t="shared" si="18"/>
        <v>0.21284144474916758</v>
      </c>
      <c r="S45" s="59">
        <f t="shared" si="18"/>
        <v>1</v>
      </c>
      <c r="T45" s="59">
        <f t="shared" si="18"/>
        <v>0.6299067636853718</v>
      </c>
      <c r="U45" s="59">
        <f t="shared" si="18"/>
        <v>1.6778693355799765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0.91066783999947831</v>
      </c>
      <c r="F46" s="59">
        <f t="shared" ref="F46:V46" si="19">EXP(-F25/($B$6+273.15))</f>
        <v>0.91066783999947831</v>
      </c>
      <c r="G46" s="59">
        <f t="shared" si="19"/>
        <v>0.91066783999947831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0.10597969094468089</v>
      </c>
      <c r="L46" s="59">
        <f t="shared" si="19"/>
        <v>3.8457667587150439</v>
      </c>
      <c r="M46" s="59">
        <f t="shared" si="19"/>
        <v>8.3466179238351382E-2</v>
      </c>
      <c r="N46" s="59">
        <f t="shared" si="19"/>
        <v>1</v>
      </c>
      <c r="O46" s="59">
        <f t="shared" si="19"/>
        <v>0.15775352238003126</v>
      </c>
      <c r="P46" s="59">
        <f t="shared" si="19"/>
        <v>1</v>
      </c>
      <c r="Q46" s="59">
        <f t="shared" si="19"/>
        <v>0.2303735876978745</v>
      </c>
      <c r="R46" s="59">
        <f t="shared" si="19"/>
        <v>1.5616591037625136</v>
      </c>
      <c r="S46" s="59">
        <f t="shared" si="19"/>
        <v>1.9407782436155514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0.93127024594904473</v>
      </c>
      <c r="F47" s="59">
        <f t="shared" si="20"/>
        <v>0.93127024594904473</v>
      </c>
      <c r="G47" s="59">
        <f t="shared" si="20"/>
        <v>0.93127024594904473</v>
      </c>
      <c r="H47" s="59">
        <f t="shared" si="20"/>
        <v>0.37998110871501695</v>
      </c>
      <c r="I47" s="59">
        <f t="shared" si="20"/>
        <v>0.89339319025822472</v>
      </c>
      <c r="J47" s="59">
        <f t="shared" si="20"/>
        <v>0.89339319025822472</v>
      </c>
      <c r="K47" s="59">
        <f t="shared" si="20"/>
        <v>0.24577950250623196</v>
      </c>
      <c r="L47" s="59">
        <f t="shared" si="20"/>
        <v>4.7681836853391824</v>
      </c>
      <c r="M47" s="59">
        <f t="shared" si="20"/>
        <v>6.9919839998489608E-2</v>
      </c>
      <c r="N47" s="59">
        <f t="shared" si="20"/>
        <v>1</v>
      </c>
      <c r="O47" s="59">
        <f t="shared" si="20"/>
        <v>15.949243045075869</v>
      </c>
      <c r="P47" s="59">
        <f t="shared" si="20"/>
        <v>1</v>
      </c>
      <c r="Q47" s="59">
        <f t="shared" si="20"/>
        <v>0.28871140529209915</v>
      </c>
      <c r="R47" s="59">
        <f t="shared" si="20"/>
        <v>20.346582532670528</v>
      </c>
      <c r="S47" s="59">
        <f t="shared" si="20"/>
        <v>1.0727222366113176</v>
      </c>
      <c r="T47" s="59">
        <f t="shared" si="20"/>
        <v>1</v>
      </c>
      <c r="U47" s="59">
        <f>EXP(-U26/($B$6+273.15))</f>
        <v>1</v>
      </c>
      <c r="V47" s="59">
        <f>EXP(-V26/($B$6+273.15))</f>
        <v>1.2881772579156781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0.55452904712035056</v>
      </c>
      <c r="F48" s="59">
        <f t="shared" si="21"/>
        <v>0.55452904712035056</v>
      </c>
      <c r="G48" s="59">
        <f t="shared" si="21"/>
        <v>0.55452904712035056</v>
      </c>
      <c r="H48" s="59">
        <f t="shared" si="21"/>
        <v>2.0838021828975481</v>
      </c>
      <c r="I48" s="59">
        <f t="shared" si="21"/>
        <v>1.0530443955280913</v>
      </c>
      <c r="J48" s="59">
        <f t="shared" si="21"/>
        <v>1.0530443955280913</v>
      </c>
      <c r="K48" s="59">
        <f t="shared" si="21"/>
        <v>0.16960642146220831</v>
      </c>
      <c r="L48" s="59">
        <f t="shared" si="21"/>
        <v>1</v>
      </c>
      <c r="M48" s="59">
        <f t="shared" si="21"/>
        <v>2.2351160285015359</v>
      </c>
      <c r="N48" s="59">
        <f t="shared" si="21"/>
        <v>17.911811198828339</v>
      </c>
      <c r="O48" s="59">
        <f t="shared" si="21"/>
        <v>5.6318066629923731E-2</v>
      </c>
      <c r="P48" s="59">
        <f t="shared" si="21"/>
        <v>1</v>
      </c>
      <c r="Q48" s="59">
        <f t="shared" si="21"/>
        <v>0.10173063434805679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2.0657095080244554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3"/>
  <sheetViews>
    <sheetView workbookViewId="0">
      <selection activeCell="C3" sqref="C3"/>
    </sheetView>
  </sheetViews>
  <sheetFormatPr baseColWidth="10" defaultColWidth="8.83203125" defaultRowHeight="12" x14ac:dyDescent="0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342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/>
  <dimension ref="A1:J26"/>
  <sheetViews>
    <sheetView workbookViewId="0">
      <selection activeCell="A9" sqref="A9"/>
    </sheetView>
  </sheetViews>
  <sheetFormatPr baseColWidth="10" defaultColWidth="8.83203125" defaultRowHeight="12" x14ac:dyDescent="0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184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185</v>
      </c>
      <c r="B2" s="5"/>
      <c r="C2" s="5"/>
      <c r="D2" s="5"/>
      <c r="E2" s="5"/>
      <c r="F2" s="5"/>
      <c r="G2" s="5"/>
      <c r="H2" s="5"/>
      <c r="I2" s="5"/>
    </row>
    <row r="3" spans="1:10" s="44" customFormat="1" ht="14">
      <c r="A3" s="4" t="s">
        <v>28</v>
      </c>
      <c r="B3" s="45" t="s">
        <v>186</v>
      </c>
      <c r="C3" s="45" t="s">
        <v>187</v>
      </c>
      <c r="D3" s="45" t="s">
        <v>188</v>
      </c>
      <c r="E3" s="45" t="s">
        <v>189</v>
      </c>
      <c r="F3" s="45" t="s">
        <v>190</v>
      </c>
      <c r="G3" s="4"/>
      <c r="H3" s="5" t="s">
        <v>191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222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 enableFormatConditionsCalculation="0"/>
  <dimension ref="A1:I32"/>
  <sheetViews>
    <sheetView showGridLines="0" workbookViewId="0">
      <selection activeCell="C1" sqref="C1"/>
    </sheetView>
  </sheetViews>
  <sheetFormatPr baseColWidth="10" defaultColWidth="9.6640625" defaultRowHeight="12" x14ac:dyDescent="0"/>
  <cols>
    <col min="1" max="2" width="9.6640625" style="4"/>
    <col min="3" max="16384" width="9.6640625" style="5"/>
  </cols>
  <sheetData>
    <row r="1" spans="1:9">
      <c r="A1" s="3" t="s">
        <v>25</v>
      </c>
    </row>
    <row r="3" spans="1:9">
      <c r="B3" s="3" t="s">
        <v>26</v>
      </c>
    </row>
    <row r="4" spans="1:9">
      <c r="B4" s="6" t="s">
        <v>249</v>
      </c>
      <c r="C4" s="7"/>
      <c r="D4" s="8" t="s">
        <v>250</v>
      </c>
      <c r="E4" s="9" t="s">
        <v>251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/>
  <dimension ref="A1:R85"/>
  <sheetViews>
    <sheetView showGridLines="0" workbookViewId="0">
      <selection activeCell="J6" sqref="J6"/>
    </sheetView>
  </sheetViews>
  <sheetFormatPr baseColWidth="10" defaultColWidth="9.1640625" defaultRowHeight="12" x14ac:dyDescent="0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254</v>
      </c>
    </row>
    <row r="2" spans="1:17" s="155" customFormat="1">
      <c r="A2" s="155" t="s">
        <v>256</v>
      </c>
    </row>
    <row r="3" spans="1:17" s="155" customFormat="1">
      <c r="A3" s="155" t="s">
        <v>257</v>
      </c>
    </row>
    <row r="4" spans="1:17" s="155" customFormat="1">
      <c r="A4" s="155" t="s">
        <v>258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192</v>
      </c>
    </row>
    <row r="9" spans="1:17" s="155" customFormat="1" ht="14">
      <c r="A9" s="163" t="s">
        <v>193</v>
      </c>
      <c r="B9" s="173"/>
      <c r="C9" s="173"/>
      <c r="D9" s="174" t="s">
        <v>150</v>
      </c>
      <c r="E9" s="174" t="s">
        <v>126</v>
      </c>
      <c r="F9" s="174" t="s">
        <v>127</v>
      </c>
      <c r="G9" s="173"/>
      <c r="H9" s="173" t="s">
        <v>195</v>
      </c>
      <c r="I9" s="173"/>
      <c r="J9" s="175" t="s">
        <v>196</v>
      </c>
      <c r="K9" s="176"/>
    </row>
    <row r="10" spans="1:17" s="155" customFormat="1">
      <c r="A10" s="164">
        <v>1</v>
      </c>
      <c r="B10" s="165" t="s">
        <v>166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149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255</v>
      </c>
    </row>
    <row r="13" spans="1:17">
      <c r="A13" s="161" t="s">
        <v>259</v>
      </c>
      <c r="H13" s="156" t="s">
        <v>207</v>
      </c>
      <c r="I13" s="161">
        <v>760</v>
      </c>
      <c r="J13" s="156" t="s">
        <v>208</v>
      </c>
    </row>
    <row r="14" spans="1:17">
      <c r="A14" s="168" t="s">
        <v>50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>
      <c r="A15" s="168" t="s">
        <v>197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194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201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4">
      <c r="A19" s="170" t="s">
        <v>202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218</v>
      </c>
    </row>
    <row r="23" spans="1:16">
      <c r="A23" s="168" t="s">
        <v>50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4">
      <c r="A24" s="170" t="s">
        <v>204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4">
      <c r="A25" s="170" t="s">
        <v>205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>
      <c r="A26" s="168" t="s">
        <v>203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>
      <c r="A27" s="168" t="s">
        <v>206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>
      <c r="A28" s="168" t="s">
        <v>252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>
      <c r="A29" s="168" t="s">
        <v>253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209</v>
      </c>
    </row>
    <row r="31" spans="1:16" ht="14">
      <c r="A31" s="180" t="s">
        <v>216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211</v>
      </c>
      <c r="I32" s="155" t="s">
        <v>210</v>
      </c>
      <c r="K32" s="155"/>
      <c r="L32" s="155"/>
      <c r="M32" s="162" t="s">
        <v>211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242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212</v>
      </c>
    </row>
    <row r="35" spans="1:18" ht="14">
      <c r="A35" s="168" t="s">
        <v>20</v>
      </c>
      <c r="B35" s="170" t="s">
        <v>200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213</v>
      </c>
    </row>
    <row r="36" spans="1:18" ht="14">
      <c r="A36" s="170" t="s">
        <v>198</v>
      </c>
      <c r="B36" s="168">
        <f>G14*G24-M14*M24</f>
        <v>2.5356984235358482E-4</v>
      </c>
      <c r="C36" s="168">
        <v>0.28420941450762771</v>
      </c>
      <c r="D36" s="155"/>
      <c r="R36" s="156" t="s">
        <v>214</v>
      </c>
    </row>
    <row r="37" spans="1:18" ht="14">
      <c r="A37" s="170" t="s">
        <v>199</v>
      </c>
      <c r="B37" s="168">
        <f>G15*G25-M15*M25</f>
        <v>0</v>
      </c>
      <c r="C37" s="168">
        <v>0.97303263263832951</v>
      </c>
      <c r="D37" s="155"/>
      <c r="R37" s="156" t="s">
        <v>215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217</v>
      </c>
      <c r="I39" s="161">
        <v>-3.3096609259584214E-2</v>
      </c>
    </row>
    <row r="40" spans="1:18">
      <c r="A40" s="168" t="s">
        <v>50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4">
      <c r="A41" s="170" t="s">
        <v>204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4">
      <c r="A42" s="170" t="s">
        <v>205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>
      <c r="A43" s="168" t="s">
        <v>203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>
      <c r="A44" s="168" t="s">
        <v>206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>
      <c r="A45" s="168" t="s">
        <v>252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>
      <c r="A46" s="168" t="s">
        <v>253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209</v>
      </c>
    </row>
    <row r="48" spans="1:18" ht="14">
      <c r="A48" s="180" t="s">
        <v>216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 ht="14">
      <c r="A49" s="157"/>
      <c r="B49" s="155"/>
      <c r="C49" s="155"/>
      <c r="D49" s="155"/>
    </row>
    <row r="50" spans="1:16" ht="14">
      <c r="A50" s="157"/>
      <c r="B50" s="155"/>
      <c r="C50" s="155"/>
      <c r="D50" s="155"/>
    </row>
    <row r="51" spans="1:16" ht="14">
      <c r="A51" s="157"/>
      <c r="B51" s="155"/>
      <c r="C51" s="155"/>
      <c r="D51" s="155"/>
    </row>
    <row r="52" spans="1:16">
      <c r="A52" s="156" t="s">
        <v>221</v>
      </c>
    </row>
    <row r="53" spans="1:16">
      <c r="A53" s="156" t="s">
        <v>305</v>
      </c>
    </row>
    <row r="54" spans="1:16" ht="14">
      <c r="A54" s="171" t="s">
        <v>203</v>
      </c>
      <c r="B54" s="171">
        <f>10^($D$10-$E$10/(58.3+$F$10))</f>
        <v>591.28789496549302</v>
      </c>
      <c r="D54" s="172" t="s">
        <v>204</v>
      </c>
      <c r="E54" s="156">
        <f>$I$13/B54</f>
        <v>1.2853298815534737</v>
      </c>
      <c r="G54" s="156" t="s">
        <v>219</v>
      </c>
      <c r="H54" s="156">
        <f>LN(E54)*(1+0.386*LN(E55)/0.614/LN(E54))^2</f>
        <v>1.9847477282664872</v>
      </c>
    </row>
    <row r="55" spans="1:16" ht="14">
      <c r="A55" s="171" t="s">
        <v>206</v>
      </c>
      <c r="B55" s="171">
        <f>10^($D$11-$E$11/(58.3+$F$11))</f>
        <v>368.65078598834526</v>
      </c>
      <c r="D55" s="182" t="s">
        <v>205</v>
      </c>
      <c r="E55" s="156">
        <f>$I$13/B55</f>
        <v>2.0615716251966085</v>
      </c>
      <c r="G55" s="156" t="s">
        <v>220</v>
      </c>
      <c r="H55" s="156">
        <f>LN(E55)*(1+0.614*LN(E54)/0.386/LN(E55))^2</f>
        <v>1.7424010368337413</v>
      </c>
    </row>
    <row r="56" spans="1:16">
      <c r="A56" s="168" t="s">
        <v>50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4">
      <c r="A57" s="170" t="s">
        <v>204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4">
      <c r="A58" s="170" t="s">
        <v>205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>
      <c r="A59" s="168" t="s">
        <v>203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>
      <c r="A60" s="168" t="s">
        <v>206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>
      <c r="A61" s="168" t="s">
        <v>252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>
      <c r="A62" s="168" t="s">
        <v>253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209</v>
      </c>
    </row>
    <row r="64" spans="1:16" ht="14">
      <c r="A64" s="180" t="s">
        <v>216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 ht="14">
      <c r="A68" s="155"/>
      <c r="B68" s="159"/>
      <c r="C68" s="158"/>
      <c r="D68" s="158"/>
      <c r="E68" s="158"/>
      <c r="F68" s="158"/>
    </row>
    <row r="69" spans="1:16" ht="14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8"/>
  <sheetViews>
    <sheetView workbookViewId="0">
      <selection activeCell="A2" sqref="A2"/>
    </sheetView>
  </sheetViews>
  <sheetFormatPr baseColWidth="10" defaultColWidth="8" defaultRowHeight="12" x14ac:dyDescent="0"/>
  <cols>
    <col min="1" max="16384" width="8" style="263"/>
  </cols>
  <sheetData>
    <row r="1" spans="2:7">
      <c r="B1" s="263" t="s">
        <v>330</v>
      </c>
      <c r="F1" s="263" t="s">
        <v>329</v>
      </c>
    </row>
    <row r="2" spans="2:7" ht="14">
      <c r="C2" s="264" t="s">
        <v>334</v>
      </c>
      <c r="D2" s="279">
        <v>200</v>
      </c>
      <c r="F2" s="264" t="s">
        <v>337</v>
      </c>
      <c r="G2" s="263">
        <f>D2/D5</f>
        <v>0.67080328693610602</v>
      </c>
    </row>
    <row r="3" spans="2:7" ht="14">
      <c r="C3" s="264" t="s">
        <v>335</v>
      </c>
      <c r="D3" s="279">
        <v>200</v>
      </c>
      <c r="F3" s="264" t="s">
        <v>338</v>
      </c>
      <c r="G3" s="263">
        <f>D3/D5</f>
        <v>0.67080328693610602</v>
      </c>
    </row>
    <row r="4" spans="2:7" ht="14">
      <c r="C4" s="264" t="s">
        <v>336</v>
      </c>
      <c r="D4" s="279">
        <v>0.2</v>
      </c>
      <c r="F4" s="269" t="s">
        <v>339</v>
      </c>
      <c r="G4" s="263">
        <f>EXP(-D4*G2)</f>
        <v>0.87444956653499373</v>
      </c>
    </row>
    <row r="5" spans="2:7">
      <c r="C5" s="280" t="s">
        <v>331</v>
      </c>
      <c r="D5" s="279">
        <v>298.14999999999998</v>
      </c>
      <c r="F5" s="269" t="s">
        <v>340</v>
      </c>
      <c r="G5" s="263">
        <f>EXP(-D4*G3)</f>
        <v>0.87444956653499373</v>
      </c>
    </row>
    <row r="7" spans="2:7" ht="14">
      <c r="B7" s="263" t="s">
        <v>28</v>
      </c>
      <c r="C7" s="280" t="s">
        <v>29</v>
      </c>
      <c r="D7" s="264" t="s">
        <v>332</v>
      </c>
      <c r="E7" s="264" t="s">
        <v>333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8"/>
  <sheetViews>
    <sheetView workbookViewId="0"/>
  </sheetViews>
  <sheetFormatPr baseColWidth="10" defaultColWidth="8" defaultRowHeight="12" x14ac:dyDescent="0"/>
  <cols>
    <col min="1" max="16384" width="8" style="263"/>
  </cols>
  <sheetData>
    <row r="1" spans="2:14">
      <c r="B1" s="263" t="s">
        <v>310</v>
      </c>
    </row>
    <row r="2" spans="2:14">
      <c r="B2" s="263" t="s">
        <v>311</v>
      </c>
    </row>
    <row r="3" spans="2:14" ht="14">
      <c r="B3" s="264" t="s">
        <v>341</v>
      </c>
    </row>
    <row r="5" spans="2:14">
      <c r="B5" s="265" t="s">
        <v>38</v>
      </c>
      <c r="C5" s="266">
        <v>298.14999999999998</v>
      </c>
    </row>
    <row r="6" spans="2:14">
      <c r="B6" s="265" t="s">
        <v>78</v>
      </c>
      <c r="C6" s="266" t="s">
        <v>312</v>
      </c>
      <c r="D6" s="266" t="s">
        <v>130</v>
      </c>
      <c r="E6" s="266" t="s">
        <v>313</v>
      </c>
      <c r="F6" s="266" t="s">
        <v>167</v>
      </c>
      <c r="G6" s="266" t="s">
        <v>314</v>
      </c>
    </row>
    <row r="7" spans="2:14">
      <c r="B7" s="265" t="s">
        <v>83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315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329</v>
      </c>
    </row>
    <row r="10" spans="2:14">
      <c r="B10" s="263" t="s">
        <v>316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317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318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319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 ht="14">
      <c r="B24" s="264" t="s">
        <v>328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320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321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322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323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324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325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326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327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31"/>
  <sheetViews>
    <sheetView showGridLines="0" zoomScale="150" zoomScaleNormal="150" zoomScalePageLayoutView="150" workbookViewId="0">
      <selection activeCell="D7" sqref="D7"/>
    </sheetView>
  </sheetViews>
  <sheetFormatPr baseColWidth="10" defaultColWidth="9.1640625" defaultRowHeight="12" x14ac:dyDescent="0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248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348</v>
      </c>
      <c r="B6" s="27">
        <v>0.92</v>
      </c>
      <c r="C6" s="27">
        <v>1.4</v>
      </c>
      <c r="D6" s="27">
        <f>_q1</f>
        <v>1.4</v>
      </c>
      <c r="E6" s="24">
        <f>5*(_r1-_q1)-(_r1-1)</f>
        <v>-2.3199999999999994</v>
      </c>
      <c r="F6" s="24">
        <f>_l1-_r1*_l2/_r2</f>
        <v>-2.2099818344160838</v>
      </c>
      <c r="H6" s="27">
        <v>-2.0882000000000001</v>
      </c>
      <c r="I6" s="27">
        <v>345.53</v>
      </c>
    </row>
    <row r="7" spans="1:16">
      <c r="A7" s="26" t="s">
        <v>349</v>
      </c>
      <c r="B7" s="27">
        <v>3.2479</v>
      </c>
      <c r="C7" s="27">
        <v>2.8759999999999999</v>
      </c>
      <c r="D7" s="27">
        <f>_q2</f>
        <v>2.8759999999999999</v>
      </c>
      <c r="E7" s="24">
        <f>5*(_r2-_q2)-(_r2-1)</f>
        <v>-0.38839999999999941</v>
      </c>
      <c r="F7" s="24">
        <f>_l2-_r2*_l1/_r1</f>
        <v>7.8019565217391289</v>
      </c>
    </row>
    <row r="8" spans="1:16">
      <c r="B8" s="23" t="s">
        <v>27</v>
      </c>
      <c r="C8" s="28"/>
      <c r="D8" s="17">
        <v>0.05</v>
      </c>
    </row>
    <row r="10" spans="1:16">
      <c r="A10" s="4" t="s">
        <v>50</v>
      </c>
      <c r="B10" s="29" t="s">
        <v>51</v>
      </c>
      <c r="C10" s="29" t="s">
        <v>52</v>
      </c>
      <c r="D10" s="4" t="s">
        <v>38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59</v>
      </c>
      <c r="L10" s="4" t="s">
        <v>60</v>
      </c>
      <c r="M10" s="4" t="s">
        <v>61</v>
      </c>
      <c r="N10" s="4" t="s">
        <v>62</v>
      </c>
      <c r="O10" s="4" t="s">
        <v>63</v>
      </c>
      <c r="P10" s="4" t="s">
        <v>64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1.0057668053172291</v>
      </c>
      <c r="F11" s="5">
        <f t="shared" ref="F11:F31" si="2">EXP(-A21../_T)</f>
        <v>0.38616902968096672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1.6428608174956849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5.1699386271668244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1.0057668053172291</v>
      </c>
      <c r="F12" s="5">
        <f t="shared" si="2"/>
        <v>0.38616902968096672</v>
      </c>
      <c r="G12" s="5">
        <f t="shared" si="3"/>
        <v>2.4980372564413676E-2</v>
      </c>
      <c r="H12" s="5">
        <f t="shared" si="4"/>
        <v>0.97501962743558634</v>
      </c>
      <c r="I12" s="5">
        <f t="shared" si="5"/>
        <v>2.4980372564413676E-2</v>
      </c>
      <c r="J12" s="5">
        <f t="shared" si="6"/>
        <v>0.97501962743558634</v>
      </c>
      <c r="K12" s="5">
        <f t="shared" si="7"/>
        <v>1.4689422498127901E-2</v>
      </c>
      <c r="L12" s="5">
        <f t="shared" si="8"/>
        <v>0.98531057750187212</v>
      </c>
      <c r="M12" s="5">
        <f t="shared" ref="M12:M27" si="13">LN(_phi1/_x1)+5*_q1*LN(theta1/_phi1)+_phi2*(_lf1)-_qp1*LN(thetap1+thetap2*_tau21)+thetap2*_qp1*(_tau21/(thetap1+thetap2*_tau21)-_tau12/(thetap2+thetap1*_tau12))</f>
        <v>1.5320769810697639</v>
      </c>
      <c r="N12" s="5">
        <f t="shared" si="9"/>
        <v>2.8546450485527541E-3</v>
      </c>
      <c r="O12" s="5">
        <f t="shared" si="10"/>
        <v>4.6277786560982976</v>
      </c>
      <c r="P12" s="5">
        <f t="shared" si="10"/>
        <v>1.0028587234275808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1.0057668053172291</v>
      </c>
      <c r="F13" s="5">
        <f t="shared" si="2"/>
        <v>0.38616902968096672</v>
      </c>
      <c r="G13" s="5">
        <f t="shared" si="3"/>
        <v>5.1312124321946921E-2</v>
      </c>
      <c r="H13" s="5">
        <f t="shared" si="4"/>
        <v>0.94868787567805302</v>
      </c>
      <c r="I13" s="5">
        <f t="shared" si="5"/>
        <v>5.1312124321946921E-2</v>
      </c>
      <c r="J13" s="5">
        <f t="shared" si="6"/>
        <v>0.94868787567805302</v>
      </c>
      <c r="K13" s="5">
        <f t="shared" si="7"/>
        <v>3.0512982942579214E-2</v>
      </c>
      <c r="L13" s="5">
        <f t="shared" si="8"/>
        <v>0.9694870170574208</v>
      </c>
      <c r="M13" s="5">
        <f t="shared" si="13"/>
        <v>1.4237361456027007</v>
      </c>
      <c r="N13" s="5">
        <f t="shared" si="9"/>
        <v>1.1655844819166764E-2</v>
      </c>
      <c r="O13" s="5">
        <f t="shared" si="10"/>
        <v>4.1526062351708095</v>
      </c>
      <c r="P13" s="5">
        <f t="shared" si="10"/>
        <v>1.0117240388739435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1.0057668053172291</v>
      </c>
      <c r="F14" s="5">
        <f t="shared" si="2"/>
        <v>0.38616902968096672</v>
      </c>
      <c r="G14" s="5">
        <f t="shared" si="3"/>
        <v>7.910796353499587E-2</v>
      </c>
      <c r="H14" s="5">
        <f t="shared" si="4"/>
        <v>0.92089203646500417</v>
      </c>
      <c r="I14" s="5">
        <f t="shared" si="5"/>
        <v>7.910796353499587E-2</v>
      </c>
      <c r="J14" s="5">
        <f t="shared" si="6"/>
        <v>0.92089203646500417</v>
      </c>
      <c r="K14" s="5">
        <f t="shared" si="7"/>
        <v>4.7607301856167322E-2</v>
      </c>
      <c r="L14" s="5">
        <f t="shared" si="8"/>
        <v>0.95239269814383276</v>
      </c>
      <c r="M14" s="5">
        <f t="shared" si="13"/>
        <v>1.3177687704704288</v>
      </c>
      <c r="N14" s="5">
        <f t="shared" si="9"/>
        <v>2.6814260804274549E-2</v>
      </c>
      <c r="O14" s="5">
        <f t="shared" si="10"/>
        <v>3.7350782561126996</v>
      </c>
      <c r="P14" s="5">
        <f t="shared" si="10"/>
        <v>1.0271769980145988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1.0057668053172291</v>
      </c>
      <c r="F15" s="5">
        <f t="shared" si="2"/>
        <v>0.38616902968096672</v>
      </c>
      <c r="G15" s="5">
        <f t="shared" si="3"/>
        <v>0.10849349039057656</v>
      </c>
      <c r="H15" s="5">
        <f t="shared" si="4"/>
        <v>0.89150650960942346</v>
      </c>
      <c r="I15" s="5">
        <f t="shared" si="5"/>
        <v>0.10849349039057656</v>
      </c>
      <c r="J15" s="5">
        <f t="shared" si="6"/>
        <v>0.89150650960942346</v>
      </c>
      <c r="K15" s="5">
        <f t="shared" si="7"/>
        <v>6.6131861180597482E-2</v>
      </c>
      <c r="L15" s="5">
        <f t="shared" si="8"/>
        <v>0.93386813881940245</v>
      </c>
      <c r="M15" s="5">
        <f t="shared" si="13"/>
        <v>1.2141157889651688</v>
      </c>
      <c r="N15" s="5">
        <f t="shared" si="9"/>
        <v>4.8825718241090929E-2</v>
      </c>
      <c r="O15" s="5">
        <f t="shared" si="10"/>
        <v>3.3673153302281573</v>
      </c>
      <c r="P15" s="5">
        <f t="shared" si="10"/>
        <v>1.0500373324388981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1.0057668053172291</v>
      </c>
      <c r="F16" s="5">
        <f t="shared" si="2"/>
        <v>0.38616902968096672</v>
      </c>
      <c r="G16" s="5">
        <f t="shared" si="3"/>
        <v>0.13960909453530115</v>
      </c>
      <c r="H16" s="5">
        <f t="shared" si="4"/>
        <v>0.86039090546469876</v>
      </c>
      <c r="I16" s="5">
        <f t="shared" si="5"/>
        <v>0.13960909453530115</v>
      </c>
      <c r="J16" s="5">
        <f t="shared" si="6"/>
        <v>0.86039090546469876</v>
      </c>
      <c r="K16" s="5">
        <f t="shared" si="7"/>
        <v>8.6273994954846819E-2</v>
      </c>
      <c r="L16" s="5">
        <f t="shared" si="8"/>
        <v>0.91372600504515322</v>
      </c>
      <c r="M16" s="5">
        <f t="shared" si="13"/>
        <v>1.1127303482326241</v>
      </c>
      <c r="N16" s="5">
        <f t="shared" si="9"/>
        <v>7.8289998150867762E-2</v>
      </c>
      <c r="O16" s="5">
        <f t="shared" si="10"/>
        <v>3.0426545700854715</v>
      </c>
      <c r="P16" s="5">
        <f t="shared" si="10"/>
        <v>1.0814362277069816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1.0057668053172291</v>
      </c>
      <c r="F17" s="5">
        <f t="shared" si="2"/>
        <v>0.38616902968096672</v>
      </c>
      <c r="G17" s="5">
        <f t="shared" si="3"/>
        <v>0.17261219792865362</v>
      </c>
      <c r="H17" s="5">
        <f t="shared" si="4"/>
        <v>0.82738780207134643</v>
      </c>
      <c r="I17" s="5">
        <f t="shared" si="5"/>
        <v>0.17261219792865362</v>
      </c>
      <c r="J17" s="5">
        <f t="shared" si="6"/>
        <v>0.82738780207134643</v>
      </c>
      <c r="K17" s="5">
        <f t="shared" si="7"/>
        <v>0.10825524704553389</v>
      </c>
      <c r="L17" s="5">
        <f t="shared" si="8"/>
        <v>0.8917447529544662</v>
      </c>
      <c r="M17" s="5">
        <f t="shared" si="13"/>
        <v>1.0135803066123066</v>
      </c>
      <c r="N17" s="5">
        <f t="shared" si="9"/>
        <v>0.11593523029565149</v>
      </c>
      <c r="O17" s="5">
        <f t="shared" si="10"/>
        <v>2.7554487268802035</v>
      </c>
      <c r="P17" s="5">
        <f t="shared" si="10"/>
        <v>1.1229231383781295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1.0057668053172291</v>
      </c>
      <c r="F18" s="5">
        <f t="shared" si="2"/>
        <v>0.38616902968096672</v>
      </c>
      <c r="G18" s="5">
        <f t="shared" si="3"/>
        <v>0.20767991862337881</v>
      </c>
      <c r="H18" s="5">
        <f t="shared" si="4"/>
        <v>0.79232008137662113</v>
      </c>
      <c r="I18" s="5">
        <f t="shared" si="5"/>
        <v>0.20767991862337881</v>
      </c>
      <c r="J18" s="5">
        <f t="shared" si="6"/>
        <v>0.79232008137662113</v>
      </c>
      <c r="K18" s="5">
        <f t="shared" si="7"/>
        <v>0.13233955370334979</v>
      </c>
      <c r="L18" s="5">
        <f t="shared" si="8"/>
        <v>0.86766044629665018</v>
      </c>
      <c r="M18" s="5">
        <f t="shared" si="13"/>
        <v>0.91665179798526564</v>
      </c>
      <c r="N18" s="5">
        <f t="shared" si="9"/>
        <v>0.16264989424073581</v>
      </c>
      <c r="O18" s="5">
        <f t="shared" si="10"/>
        <v>2.5009028282583121</v>
      </c>
      <c r="P18" s="5">
        <f t="shared" si="10"/>
        <v>1.1766246744931967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1.0057668053172291</v>
      </c>
      <c r="F19" s="5">
        <f t="shared" si="2"/>
        <v>0.38616902968096672</v>
      </c>
      <c r="G19" s="5">
        <f t="shared" si="3"/>
        <v>0.2450122506125306</v>
      </c>
      <c r="H19" s="5">
        <f t="shared" si="4"/>
        <v>0.75498774938746949</v>
      </c>
      <c r="I19" s="5">
        <f t="shared" si="5"/>
        <v>0.2450122506125306</v>
      </c>
      <c r="J19" s="5">
        <f t="shared" si="6"/>
        <v>0.75498774938746949</v>
      </c>
      <c r="K19" s="5">
        <f t="shared" si="7"/>
        <v>0.15884389271130983</v>
      </c>
      <c r="L19" s="5">
        <f t="shared" si="8"/>
        <v>0.84115610728869017</v>
      </c>
      <c r="M19" s="5">
        <f t="shared" si="13"/>
        <v>0.82195432288179804</v>
      </c>
      <c r="N19" s="5">
        <f t="shared" si="9"/>
        <v>0.21952529813274069</v>
      </c>
      <c r="O19" s="5">
        <f t="shared" si="10"/>
        <v>2.2749414660924896</v>
      </c>
      <c r="P19" s="5">
        <f t="shared" si="10"/>
        <v>1.2454853560110355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1.0057668053172291</v>
      </c>
      <c r="F20" s="5">
        <f t="shared" si="2"/>
        <v>0.38616902968096672</v>
      </c>
      <c r="G20" s="5">
        <f t="shared" si="3"/>
        <v>0.28483588027850609</v>
      </c>
      <c r="H20" s="5">
        <f t="shared" si="4"/>
        <v>0.71516411972149374</v>
      </c>
      <c r="I20" s="5">
        <f t="shared" si="5"/>
        <v>0.28483588027850609</v>
      </c>
      <c r="J20" s="5">
        <f t="shared" si="6"/>
        <v>0.71516411972149374</v>
      </c>
      <c r="K20" s="5">
        <f t="shared" si="7"/>
        <v>0.18815231247827044</v>
      </c>
      <c r="L20" s="5">
        <f t="shared" si="8"/>
        <v>0.81184768752172953</v>
      </c>
      <c r="M20" s="5">
        <f t="shared" si="13"/>
        <v>0.7295280588723887</v>
      </c>
      <c r="N20" s="5">
        <f t="shared" si="9"/>
        <v>0.28791270278819864</v>
      </c>
      <c r="O20" s="5">
        <f t="shared" si="10"/>
        <v>2.0741015228456239</v>
      </c>
      <c r="P20" s="5">
        <f t="shared" si="10"/>
        <v>1.3336408759115179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1.0057668053172291</v>
      </c>
      <c r="F21" s="5">
        <f t="shared" si="2"/>
        <v>0.38616902968096672</v>
      </c>
      <c r="G21" s="5">
        <f t="shared" si="3"/>
        <v>0.32740879326473332</v>
      </c>
      <c r="H21" s="5">
        <f t="shared" si="4"/>
        <v>0.67259120673526662</v>
      </c>
      <c r="I21" s="5">
        <f t="shared" si="5"/>
        <v>0.32740879326473332</v>
      </c>
      <c r="J21" s="5">
        <f t="shared" si="6"/>
        <v>0.67259120673526662</v>
      </c>
      <c r="K21" s="5">
        <f t="shared" si="7"/>
        <v>0.22073466253988822</v>
      </c>
      <c r="L21" s="5">
        <f t="shared" si="8"/>
        <v>0.77926533746011195</v>
      </c>
      <c r="M21" s="5">
        <f t="shared" si="13"/>
        <v>0.63945445013290381</v>
      </c>
      <c r="N21" s="5">
        <f t="shared" si="9"/>
        <v>0.36950124854237015</v>
      </c>
      <c r="O21" s="5">
        <f t="shared" si="10"/>
        <v>1.8954465365817175</v>
      </c>
      <c r="P21" s="5">
        <f t="shared" si="10"/>
        <v>1.4470127349482442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1.0057668053172291</v>
      </c>
      <c r="F22" s="5">
        <f t="shared" si="2"/>
        <v>0.38616902968096672</v>
      </c>
      <c r="G22" s="5">
        <f t="shared" si="3"/>
        <v>0.37302586958628037</v>
      </c>
      <c r="H22" s="5">
        <f t="shared" si="4"/>
        <v>0.62697413041371974</v>
      </c>
      <c r="I22" s="5">
        <f t="shared" si="5"/>
        <v>0.37302586958628037</v>
      </c>
      <c r="J22" s="5">
        <f t="shared" si="6"/>
        <v>0.62697413041371974</v>
      </c>
      <c r="K22" s="5">
        <f t="shared" si="7"/>
        <v>0.25717197232097705</v>
      </c>
      <c r="L22" s="5">
        <f t="shared" si="8"/>
        <v>0.74282802767902301</v>
      </c>
      <c r="M22" s="5">
        <f t="shared" si="13"/>
        <v>0.55187172729919787</v>
      </c>
      <c r="N22" s="5">
        <f t="shared" si="9"/>
        <v>0.46642595488606653</v>
      </c>
      <c r="O22" s="5">
        <f t="shared" si="10"/>
        <v>1.7365002328598143</v>
      </c>
      <c r="P22" s="5">
        <f t="shared" si="10"/>
        <v>1.5942859486269427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1.0057668053172291</v>
      </c>
      <c r="F23" s="5">
        <f t="shared" si="2"/>
        <v>0.38616902968096672</v>
      </c>
      <c r="G23" s="5">
        <f t="shared" si="3"/>
        <v>0.42202572347266876</v>
      </c>
      <c r="H23" s="5">
        <f t="shared" si="4"/>
        <v>0.57797427652733113</v>
      </c>
      <c r="I23" s="5">
        <f t="shared" si="5"/>
        <v>0.42202572347266876</v>
      </c>
      <c r="J23" s="5">
        <f t="shared" si="6"/>
        <v>0.57797427652733113</v>
      </c>
      <c r="K23" s="5">
        <f t="shared" si="7"/>
        <v>0.29819140430864971</v>
      </c>
      <c r="L23" s="5">
        <f t="shared" si="8"/>
        <v>0.70180859569135023</v>
      </c>
      <c r="M23" s="5">
        <f t="shared" si="13"/>
        <v>0.46699798085500455</v>
      </c>
      <c r="N23" s="5">
        <f t="shared" si="9"/>
        <v>0.58142004063134034</v>
      </c>
      <c r="O23" s="5">
        <f t="shared" si="10"/>
        <v>1.5951981824773218</v>
      </c>
      <c r="P23" s="5">
        <f t="shared" si="10"/>
        <v>1.788576479530569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1.0057668053172291</v>
      </c>
      <c r="F24" s="5">
        <f t="shared" si="2"/>
        <v>0.38616902968096672</v>
      </c>
      <c r="G24" s="5">
        <f t="shared" si="3"/>
        <v>0.47479912344777209</v>
      </c>
      <c r="H24" s="5">
        <f t="shared" si="4"/>
        <v>0.52520087655222791</v>
      </c>
      <c r="I24" s="5">
        <f t="shared" si="5"/>
        <v>0.47479912344777209</v>
      </c>
      <c r="J24" s="5">
        <f t="shared" si="6"/>
        <v>0.52520087655222791</v>
      </c>
      <c r="K24" s="5">
        <f t="shared" si="7"/>
        <v>0.34471527843828992</v>
      </c>
      <c r="L24" s="5">
        <f t="shared" si="8"/>
        <v>0.65528472156171003</v>
      </c>
      <c r="M24" s="5">
        <f t="shared" si="13"/>
        <v>0.38516604814141081</v>
      </c>
      <c r="N24" s="5">
        <f t="shared" si="9"/>
        <v>0.71803396985335333</v>
      </c>
      <c r="O24" s="5">
        <f t="shared" si="10"/>
        <v>1.4698583684290238</v>
      </c>
      <c r="P24" s="5">
        <f t="shared" si="10"/>
        <v>2.0503981008909333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1.0057668053172291</v>
      </c>
      <c r="F25" s="5">
        <f t="shared" si="2"/>
        <v>0.38616902968096672</v>
      </c>
      <c r="G25" s="5">
        <f t="shared" si="3"/>
        <v>0.5317994356414153</v>
      </c>
      <c r="H25" s="5">
        <f t="shared" si="4"/>
        <v>0.4682005643585847</v>
      </c>
      <c r="I25" s="5">
        <f t="shared" si="5"/>
        <v>0.5317994356414153</v>
      </c>
      <c r="J25" s="5">
        <f t="shared" si="6"/>
        <v>0.4682005643585847</v>
      </c>
      <c r="K25" s="5">
        <f t="shared" si="7"/>
        <v>0.39793125181509803</v>
      </c>
      <c r="L25" s="5">
        <f t="shared" si="8"/>
        <v>0.60206874818490197</v>
      </c>
      <c r="M25" s="5">
        <f t="shared" si="13"/>
        <v>0.30687730401692842</v>
      </c>
      <c r="N25" s="5">
        <f t="shared" si="9"/>
        <v>0.88095736574289518</v>
      </c>
      <c r="O25" s="5">
        <f t="shared" si="10"/>
        <v>1.3591741926271215</v>
      </c>
      <c r="P25" s="5">
        <f t="shared" si="10"/>
        <v>2.4132089244124146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1.0057668053172291</v>
      </c>
      <c r="F26" s="5">
        <f t="shared" si="2"/>
        <v>0.38616902968096672</v>
      </c>
      <c r="G26" s="5">
        <f t="shared" si="3"/>
        <v>0.5935556811758057</v>
      </c>
      <c r="H26" s="5">
        <f t="shared" si="4"/>
        <v>0.40644431882419435</v>
      </c>
      <c r="I26" s="5">
        <f t="shared" si="5"/>
        <v>0.5935556811758057</v>
      </c>
      <c r="J26" s="5">
        <f t="shared" si="6"/>
        <v>0.40644431882419435</v>
      </c>
      <c r="K26" s="5">
        <f t="shared" si="7"/>
        <v>0.4593951297458348</v>
      </c>
      <c r="L26" s="5">
        <f t="shared" si="8"/>
        <v>0.54060487025416515</v>
      </c>
      <c r="M26" s="5">
        <f t="shared" si="13"/>
        <v>0.23288648523007432</v>
      </c>
      <c r="N26" s="5">
        <f t="shared" si="9"/>
        <v>1.0765037813659473</v>
      </c>
      <c r="O26" s="5">
        <f t="shared" si="10"/>
        <v>1.2622381885170426</v>
      </c>
      <c r="P26" s="5">
        <f t="shared" si="10"/>
        <v>2.9344022838031472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1.0057668053172291</v>
      </c>
      <c r="F27" s="5">
        <f t="shared" si="2"/>
        <v>0.38616902968096672</v>
      </c>
      <c r="G27" s="5">
        <f t="shared" si="3"/>
        <v>0.66068900424728672</v>
      </c>
      <c r="H27" s="5">
        <f t="shared" si="4"/>
        <v>0.33931099575271334</v>
      </c>
      <c r="I27" s="5">
        <f t="shared" si="5"/>
        <v>0.66068900424728672</v>
      </c>
      <c r="J27" s="5">
        <f t="shared" si="6"/>
        <v>0.33931099575271334</v>
      </c>
      <c r="K27" s="5">
        <f t="shared" si="7"/>
        <v>0.5311854963264484</v>
      </c>
      <c r="L27" s="5">
        <f t="shared" si="8"/>
        <v>0.46881450367355165</v>
      </c>
      <c r="M27" s="5">
        <f t="shared" si="13"/>
        <v>0.16433896100429435</v>
      </c>
      <c r="N27" s="5">
        <f>LN(_phi2/_x2)+5*_q2*LN(theta2/_phi2)+_phi1*(_lf2)-_qp2*LN(thetap2+thetap1*_tau12)+thetap1*_qp2*(_tau12/(thetap2+thetap1*_tau12)-_tau21/(thetap1+thetap2*_tau21))</f>
        <v>1.3133611592944561</v>
      </c>
      <c r="O27" s="5">
        <f t="shared" si="10"/>
        <v>1.1786137514930972</v>
      </c>
      <c r="P27" s="5">
        <f t="shared" si="10"/>
        <v>3.7186517109531874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1.0057668053172291</v>
      </c>
      <c r="F28" s="5">
        <f t="shared" si="2"/>
        <v>0.38616902968096672</v>
      </c>
      <c r="G28" s="5">
        <f t="shared" si="3"/>
        <v>0.73393363759713859</v>
      </c>
      <c r="H28" s="5">
        <f t="shared" si="4"/>
        <v>0.26606636240286141</v>
      </c>
      <c r="I28" s="5">
        <f t="shared" si="5"/>
        <v>0.73393363759713859</v>
      </c>
      <c r="J28" s="5">
        <f t="shared" si="6"/>
        <v>0.26606636240286141</v>
      </c>
      <c r="K28" s="5">
        <f t="shared" si="7"/>
        <v>0.61614343062674115</v>
      </c>
      <c r="L28" s="5">
        <f t="shared" si="8"/>
        <v>0.38385656937325885</v>
      </c>
      <c r="M28" s="5">
        <f>LN(_phi1/_x1)+5*_q1*LN(theta1/_phi1)+_phi2*(_lf1)-_qp1*LN(thetap1+thetap2*_tau21)+thetap2*_qp1*(_tau21/(thetap1+thetap2*_tau21)-_tau12/(thetap2+thetap1*_tau12))</f>
        <v>0.10299962551678715</v>
      </c>
      <c r="N28" s="5">
        <f>LN(_phi2/_x2)+5*_q2*LN(theta2/_phi2)+_phi1*(_lf2)-_qp2*LN(thetap2+thetap1*_tau12)+thetap1*_qp2*(_tau12/(thetap2+thetap1*_tau12)-_tau21/(thetap1+thetap2*_tau21))</f>
        <v>1.6037908500438656</v>
      </c>
      <c r="O28" s="5">
        <f t="shared" si="10"/>
        <v>1.1084909939646608</v>
      </c>
      <c r="P28" s="5">
        <f t="shared" si="10"/>
        <v>4.9718442614770915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1.0057668053172291</v>
      </c>
      <c r="F29" s="5">
        <f t="shared" si="2"/>
        <v>0.38616902968096672</v>
      </c>
      <c r="G29" s="5">
        <f t="shared" si="3"/>
        <v>0.81416386663220508</v>
      </c>
      <c r="H29" s="5">
        <f t="shared" si="4"/>
        <v>0.18583613336779489</v>
      </c>
      <c r="I29" s="5">
        <f t="shared" si="5"/>
        <v>0.81416386663220508</v>
      </c>
      <c r="J29" s="5">
        <f t="shared" si="6"/>
        <v>0.18583613336779489</v>
      </c>
      <c r="K29" s="5">
        <f t="shared" si="7"/>
        <v>0.71825744498130673</v>
      </c>
      <c r="L29" s="5">
        <f t="shared" si="8"/>
        <v>0.28174255501869316</v>
      </c>
      <c r="M29" s="5">
        <f>LN(_phi1/_x1)+5*_q1*LN(theta1/_phi1)+_phi2*(_lf1)-_qp1*LN(thetap1+thetap2*_tau21)+thetap2*_qp1*(_tau21/(thetap1+thetap2*_tau21)-_tau12/(thetap2+thetap1*_tau12))</f>
        <v>5.1648114852119009E-2</v>
      </c>
      <c r="N29" s="5">
        <f>LN(_phi2/_x2)+5*_q2*LN(theta2/_phi2)+_phi1*(_lf2)-_qp2*LN(thetap2+thetap1*_tau12)+thetap1*_qp2*(_tau12/(thetap2+thetap1*_tau12)-_tau21/(thetap1+thetap2*_tau21))</f>
        <v>1.9656144577190715</v>
      </c>
      <c r="O29" s="5">
        <f t="shared" si="10"/>
        <v>1.0530051404429426</v>
      </c>
      <c r="P29" s="5">
        <f t="shared" si="10"/>
        <v>7.1392980394729753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1.0057668053172291</v>
      </c>
      <c r="F30" s="5">
        <f t="shared" si="2"/>
        <v>0.38616902968096672</v>
      </c>
      <c r="G30" s="5">
        <f t="shared" si="3"/>
        <v>0.90242909485683331</v>
      </c>
      <c r="H30" s="5">
        <f t="shared" si="4"/>
        <v>9.7570905143166797E-2</v>
      </c>
      <c r="I30" s="5">
        <f t="shared" si="5"/>
        <v>0.90242909485683331</v>
      </c>
      <c r="J30" s="5">
        <f t="shared" si="6"/>
        <v>9.7570905143166797E-2</v>
      </c>
      <c r="K30" s="5">
        <f t="shared" si="7"/>
        <v>0.84330781217586048</v>
      </c>
      <c r="L30" s="5">
        <f t="shared" si="8"/>
        <v>0.15669218782413963</v>
      </c>
      <c r="M30" s="5">
        <f>LN(_phi1/_x1)+5*_q1*LN(theta1/_phi1)+_phi2*(_lf1)-_qp1*LN(thetap1+thetap2*_tau21)+thetap2*_qp1*(_tau21/(thetap1+thetap2*_tau21)-_tau12/(thetap2+thetap1*_tau12))</f>
        <v>1.4789865200370081E-2</v>
      </c>
      <c r="N30" s="5">
        <f>LN(_phi2/_x2)+5*_q2*LN(theta2/_phi2)+_phi1*(_lf2)-_qp2*LN(thetap2+thetap1*_tau12)+thetap1*_qp2*(_tau12/(thetap2+thetap1*_tau12)-_tau21/(thetap1+thetap2*_tau21))</f>
        <v>2.4256498162490994</v>
      </c>
      <c r="O30" s="5">
        <f t="shared" si="10"/>
        <v>1.0148997764457026</v>
      </c>
      <c r="P30" s="5">
        <f t="shared" si="10"/>
        <v>11.309576178370474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1.0057668053172291</v>
      </c>
      <c r="F31" s="5">
        <f t="shared" si="2"/>
        <v>0.38616902968096672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3.0259628161524068</v>
      </c>
      <c r="O31" s="5">
        <f t="shared" si="10"/>
        <v>1</v>
      </c>
      <c r="P31" s="5">
        <f t="shared" si="10"/>
        <v>20.613842500114014</v>
      </c>
    </row>
  </sheetData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S46"/>
  <sheetViews>
    <sheetView showGridLines="0" zoomScale="150" zoomScaleNormal="150" zoomScalePageLayoutView="150" workbookViewId="0">
      <selection activeCell="B13" sqref="B13"/>
    </sheetView>
  </sheetViews>
  <sheetFormatPr baseColWidth="10" defaultColWidth="9.1640625" defaultRowHeight="12" x14ac:dyDescent="0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66</v>
      </c>
    </row>
    <row r="3" spans="1:19">
      <c r="A3" s="69" t="s">
        <v>226</v>
      </c>
    </row>
    <row r="4" spans="1:19">
      <c r="A4" s="69" t="s">
        <v>69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223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224</v>
      </c>
      <c r="B7" s="62">
        <v>1730.63</v>
      </c>
      <c r="C7" s="62">
        <v>1434.2010693621778</v>
      </c>
      <c r="D7" s="62"/>
      <c r="E7" s="62"/>
      <c r="F7" s="62"/>
      <c r="O7" s="69" t="s">
        <v>65</v>
      </c>
    </row>
    <row r="8" spans="1:19">
      <c r="A8" s="183" t="s">
        <v>225</v>
      </c>
      <c r="B8" s="62">
        <v>233.42599999999999</v>
      </c>
      <c r="C8" s="62">
        <v>246.49904574755209</v>
      </c>
      <c r="D8" s="62"/>
      <c r="E8" s="62"/>
      <c r="F8" s="62"/>
      <c r="O8" s="5" t="s">
        <v>67</v>
      </c>
    </row>
    <row r="9" spans="1:19">
      <c r="A9" s="183" t="s">
        <v>227</v>
      </c>
      <c r="B9" s="61">
        <f>10^(A.-B./(B12-273.15+C.))</f>
        <v>26.197806931661823</v>
      </c>
      <c r="C9" s="61">
        <f>10^(A.-B./(TK-273.15+C.))</f>
        <v>107.40039775848409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68</v>
      </c>
    </row>
    <row r="10" spans="1:19">
      <c r="A10" s="184" t="s">
        <v>228</v>
      </c>
      <c r="B10" s="185">
        <f>act*Psat/$B$11</f>
        <v>0.30031217494950435</v>
      </c>
      <c r="C10" s="185">
        <f>act*Psat/$B$11</f>
        <v>0.69968782504930527</v>
      </c>
      <c r="D10" s="185">
        <f>act*Psat/$B$11</f>
        <v>2.224520527091222E-14</v>
      </c>
      <c r="E10" s="185">
        <f>act*Psat/$B$11</f>
        <v>9.8729499643535621E-13</v>
      </c>
      <c r="F10" s="185">
        <f>act*Psat/$B$11</f>
        <v>1.8062192466948416E-13</v>
      </c>
      <c r="H10" s="69" t="s">
        <v>70</v>
      </c>
      <c r="O10" s="69"/>
      <c r="P10" s="60">
        <v>1</v>
      </c>
      <c r="Q10" s="60">
        <v>2</v>
      </c>
      <c r="R10" s="60">
        <v>3</v>
      </c>
      <c r="S10" s="69" t="s">
        <v>71</v>
      </c>
    </row>
    <row r="11" spans="1:19">
      <c r="A11" s="184" t="s">
        <v>229</v>
      </c>
      <c r="B11" s="186">
        <f t="array" ref="B11">SUM(B17:F17*B9:F9)</f>
        <v>84.889490697490601</v>
      </c>
      <c r="C11" s="187"/>
      <c r="D11" s="187"/>
      <c r="O11" s="5" t="s">
        <v>72</v>
      </c>
      <c r="P11" s="197">
        <v>0.53096394030730898</v>
      </c>
      <c r="Q11" s="197">
        <v>5.0625342641324211</v>
      </c>
      <c r="R11" s="197">
        <v>2.6115685140434906</v>
      </c>
    </row>
    <row r="12" spans="1:19" ht="14">
      <c r="A12" s="61" t="s">
        <v>73</v>
      </c>
      <c r="B12" s="62">
        <v>299.85000000000002</v>
      </c>
      <c r="C12" s="69" t="s">
        <v>74</v>
      </c>
      <c r="H12" s="69" t="s">
        <v>75</v>
      </c>
      <c r="O12" s="5" t="s">
        <v>76</v>
      </c>
      <c r="P12" s="60">
        <f>B16/I16</f>
        <v>0.50272077300718543</v>
      </c>
      <c r="Q12" s="60">
        <f>C16/J16</f>
        <v>10.693732613040609</v>
      </c>
      <c r="R12" s="60">
        <f>D16/K16</f>
        <v>5.6931543990261941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77</v>
      </c>
      <c r="P13" s="154">
        <f>B15</f>
        <v>0.96599999999999997</v>
      </c>
      <c r="Q13" s="154">
        <f>C15</f>
        <v>3.4000000000000002E-2</v>
      </c>
      <c r="R13" s="154">
        <f>D15</f>
        <v>9.9999999999999994E-12</v>
      </c>
    </row>
    <row r="14" spans="1:19" ht="16">
      <c r="A14" s="61" t="s">
        <v>78</v>
      </c>
      <c r="B14" s="62" t="s">
        <v>79</v>
      </c>
      <c r="C14" s="62" t="s">
        <v>80</v>
      </c>
      <c r="D14" s="62" t="s">
        <v>81</v>
      </c>
      <c r="E14" s="62"/>
      <c r="F14" s="62"/>
      <c r="G14"/>
      <c r="H14" s="61" t="s">
        <v>78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82</v>
      </c>
      <c r="P14" s="154">
        <f>(1-R13*(R11-Q11)-Q11)/(P11-Q11)</f>
        <v>0.89649591064466028</v>
      </c>
      <c r="Q14" s="154">
        <f>1-P14-R14</f>
        <v>9.3504089355339728E-2</v>
      </c>
      <c r="R14" s="196">
        <v>0.01</v>
      </c>
    </row>
    <row r="15" spans="1:19" ht="16">
      <c r="A15" s="61" t="s">
        <v>83</v>
      </c>
      <c r="B15" s="64">
        <v>0.96599999999999997</v>
      </c>
      <c r="C15" s="64">
        <v>3.4000000000000002E-2</v>
      </c>
      <c r="D15" s="64">
        <v>9.9999999999999994E-12</v>
      </c>
      <c r="E15" s="64">
        <v>9.9999999999999994E-12</v>
      </c>
      <c r="F15" s="64">
        <v>9.9999999999999994E-12</v>
      </c>
      <c r="G15"/>
      <c r="H15" s="61" t="s">
        <v>83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84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85</v>
      </c>
      <c r="B16" s="61">
        <f>EXP(B40+B44)</f>
        <v>1.0073602357412628</v>
      </c>
      <c r="C16" s="61">
        <f>EXP(C40+C44)</f>
        <v>16.265725474159268</v>
      </c>
      <c r="D16" s="61">
        <f>EXP(D40+D44)</f>
        <v>0.18883841459088718</v>
      </c>
      <c r="E16" s="61">
        <f>EXP(E40+E44)</f>
        <v>8.3810969415578196</v>
      </c>
      <c r="F16" s="61">
        <f>EXP(F40+F44)</f>
        <v>1.5332903193993024</v>
      </c>
      <c r="G16"/>
      <c r="H16" s="65" t="s">
        <v>85</v>
      </c>
      <c r="I16" s="61">
        <f>EXP(I40+I44)</f>
        <v>2.0038166111883831</v>
      </c>
      <c r="J16" s="61">
        <f>EXP(J40+J44)</f>
        <v>1.521052195967928</v>
      </c>
      <c r="K16" s="61">
        <f>EXP(K40+K44)</f>
        <v>3.3169382271309507E-2</v>
      </c>
      <c r="L16" s="61">
        <f>EXP(L40+L44)</f>
        <v>1.0205546571711785</v>
      </c>
      <c r="M16" s="61">
        <f>EXP(M40+M44)</f>
        <v>0.69819947789826842</v>
      </c>
      <c r="O16" s="69" t="s">
        <v>86</v>
      </c>
      <c r="P16" s="154">
        <f>P11*P14</f>
        <v>0.476007001185278</v>
      </c>
      <c r="Q16" s="154">
        <f>Q11*Q14</f>
        <v>0.47336765619790694</v>
      </c>
      <c r="R16" s="154">
        <f>R11*R14</f>
        <v>2.6115685140434906E-2</v>
      </c>
    </row>
    <row r="17" spans="1:15" ht="14">
      <c r="A17" s="61" t="s">
        <v>87</v>
      </c>
      <c r="B17" s="61">
        <f>xalpha*galpha</f>
        <v>0.97310998772605983</v>
      </c>
      <c r="C17" s="61">
        <f>xalpha*galpha</f>
        <v>0.55303466612141516</v>
      </c>
      <c r="D17" s="61">
        <f>xalpha*galpha</f>
        <v>1.8883841459088718E-12</v>
      </c>
      <c r="E17" s="61">
        <f>xalpha*galpha</f>
        <v>8.3810969415578192E-11</v>
      </c>
      <c r="F17" s="61">
        <f>xalpha*galpha</f>
        <v>1.5332903193993023E-11</v>
      </c>
      <c r="H17" s="61" t="s">
        <v>87</v>
      </c>
      <c r="I17" s="61">
        <f>xbeta*gbeta</f>
        <v>0.94809575639022936</v>
      </c>
      <c r="J17" s="61">
        <f>xbeta*gbeta</f>
        <v>0.76165037193298846</v>
      </c>
      <c r="K17" s="61">
        <f>xbeta*gbeta</f>
        <v>8.6624776460716491E-4</v>
      </c>
      <c r="L17" s="61">
        <f>xbeta*gbeta</f>
        <v>1.0205546571711784E-11</v>
      </c>
      <c r="M17" s="61">
        <f>xbeta*gbeta</f>
        <v>6.9819947789826834E-12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88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89</v>
      </c>
    </row>
    <row r="21" spans="1:15" ht="14">
      <c r="A21" s="65" t="s">
        <v>90</v>
      </c>
      <c r="B21" s="61">
        <f>$B$19*B15/B23</f>
        <v>0.88947730091331378</v>
      </c>
      <c r="C21" s="61">
        <f>$C$19*C15/B23</f>
        <v>0.11052269901840396</v>
      </c>
      <c r="D21" s="61">
        <f>$D$19*D15/B23</f>
        <v>2.2042767210499168E-11</v>
      </c>
      <c r="E21" s="61">
        <f>$E$19*E15/B23</f>
        <v>3.1927182801258784E-11</v>
      </c>
      <c r="F21" s="61">
        <f>$F$19*F15/B23</f>
        <v>1.431218539366773E-11</v>
      </c>
      <c r="G21" s="71"/>
      <c r="H21" s="65" t="s">
        <v>90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91</v>
      </c>
    </row>
    <row r="22" spans="1:15" ht="14">
      <c r="A22" s="65" t="s">
        <v>44</v>
      </c>
      <c r="B22" s="61">
        <f>$B$20*B15/D23</f>
        <v>0.93257131505033819</v>
      </c>
      <c r="C22" s="61">
        <f>$C$20*C15/D23</f>
        <v>6.7428684908963546E-2</v>
      </c>
      <c r="D22" s="61">
        <f>$D$20*D15/D23</f>
        <v>1.4287842093938931E-11</v>
      </c>
      <c r="E22" s="61">
        <f>$E$20*E15/D23</f>
        <v>1.6549624047033509E-11</v>
      </c>
      <c r="F22" s="61">
        <f>$F$20*F15/D23</f>
        <v>9.8608176613574651E-12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92</v>
      </c>
    </row>
    <row r="23" spans="1:15" ht="14">
      <c r="A23" s="67" t="s">
        <v>93</v>
      </c>
      <c r="B23" s="60">
        <f t="array" ref="B23">SUM(B15:F15*$B$19:$F$19)</f>
        <v>0.99914860006822415</v>
      </c>
      <c r="C23" s="67" t="s">
        <v>94</v>
      </c>
      <c r="D23" s="60">
        <f t="array" ref="D23">SUM($B$20:$F$20*B15:F15)</f>
        <v>1.4501840000590198</v>
      </c>
      <c r="E23"/>
      <c r="F23" s="66"/>
      <c r="H23" s="67" t="s">
        <v>93</v>
      </c>
      <c r="I23" s="60">
        <f t="array" ref="I23">SUM(I15:M15*$B$19:$F$19)</f>
        <v>2.1191616599026317</v>
      </c>
      <c r="J23" s="67" t="s">
        <v>94</v>
      </c>
      <c r="K23" s="60">
        <f t="array" ref="K23">SUM($B$20:$F$20*I15:M15)</f>
        <v>2.1566408485572506</v>
      </c>
      <c r="L23"/>
      <c r="M23" s="66"/>
    </row>
    <row r="24" spans="1:15">
      <c r="A24" s="70" t="s">
        <v>95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96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97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98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4">
      <c r="A32" s="67" t="s">
        <v>99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1.006988454815827</v>
      </c>
      <c r="D34" s="63">
        <f>EXP(-D26/TK)</f>
        <v>0.42844604626852939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0.31589580901042269</v>
      </c>
      <c r="C35" s="63">
        <v>1</v>
      </c>
      <c r="D35" s="63">
        <f>EXP(-D27/TK)</f>
        <v>2.333860496359935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2.7289091510535251</v>
      </c>
      <c r="C36" s="63">
        <f t="shared" si="1"/>
        <v>1.015302495581641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4">
      <c r="A40" s="68" t="s">
        <v>100</v>
      </c>
      <c r="B40" s="61">
        <f>LN(B21/B15)+(1-B21/B15)-5*B20*(LN(B21/B22)+(1-B21/B22))</f>
        <v>4.3984624326797034E-3</v>
      </c>
      <c r="C40" s="61">
        <f>LN(C21/C15)+(1-C21/C15)-5*C20*(LN(C21/C22)+(1-C21/C22))</f>
        <v>1.0126408537725431</v>
      </c>
      <c r="D40" s="61">
        <f>LN(D21/D15)+(1-D21/D15)-5*D20*(LN(D21/D22)+(1-D21/D22))</f>
        <v>0.71731409832205717</v>
      </c>
      <c r="E40" s="61">
        <f>LN(E21/E15)+(1-E21/E15)-5*E20*(LN(E21/E22)+(1-E21/E22))</f>
        <v>2.2331665879744547</v>
      </c>
      <c r="F40" s="61">
        <f>LN(F21/F15)+(1-F21/F15)-5*F20*(LN(F21/F22)+(1-F21/F22))</f>
        <v>0.49128201536896488</v>
      </c>
      <c r="H40" s="68" t="s">
        <v>100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4">
      <c r="A41" s="65" t="s">
        <v>101</v>
      </c>
      <c r="B41" s="61">
        <f t="array" ref="B41:F41">MMULT(B22:F22,$B$34:$F$38)</f>
        <v>0.95387175408556479</v>
      </c>
      <c r="C41" s="61">
        <v>1.0065172324979843</v>
      </c>
      <c r="D41" s="61">
        <v>0.55692563686799001</v>
      </c>
      <c r="E41" s="61">
        <v>1</v>
      </c>
      <c r="F41" s="61">
        <v>1</v>
      </c>
      <c r="H41" s="65" t="s">
        <v>101</v>
      </c>
      <c r="I41" s="61">
        <f t="array" ref="I41:M41">MMULT(I22:M22,$B$34:$F$38)</f>
        <v>0.58656020549432208</v>
      </c>
      <c r="J41" s="61">
        <v>1.0025304276082816</v>
      </c>
      <c r="K41" s="61">
        <v>1.7151528487392578</v>
      </c>
      <c r="L41" s="61">
        <v>1</v>
      </c>
      <c r="M41" s="61">
        <v>1</v>
      </c>
    </row>
    <row r="42" spans="1:13" ht="14">
      <c r="A42" s="65" t="s">
        <v>102</v>
      </c>
      <c r="B42" s="61">
        <f>B22/B41</f>
        <v>0.97766949388741842</v>
      </c>
      <c r="C42" s="61">
        <f>C22/C41</f>
        <v>6.6992081935466102E-2</v>
      </c>
      <c r="D42" s="61">
        <f>D22/D41</f>
        <v>2.5654847161086296E-11</v>
      </c>
      <c r="E42" s="61">
        <f>E22/E41</f>
        <v>1.6549624047033509E-11</v>
      </c>
      <c r="F42" s="61">
        <f>F22/F41</f>
        <v>9.8608176613574651E-12</v>
      </c>
      <c r="H42" s="65" t="s">
        <v>102</v>
      </c>
      <c r="I42" s="61">
        <f>I22/I41</f>
        <v>0.52363882976223419</v>
      </c>
      <c r="J42" s="61">
        <f>J22/J41</f>
        <v>0.66607791371994718</v>
      </c>
      <c r="K42" s="61">
        <f>K22/K41</f>
        <v>1.4628973008703675E-2</v>
      </c>
      <c r="L42" s="61">
        <f>L22/L41</f>
        <v>1.1128417611145368E-11</v>
      </c>
      <c r="M42" s="61">
        <f>M22/M41</f>
        <v>6.630682159974115E-12</v>
      </c>
    </row>
    <row r="43" spans="1:13" ht="14">
      <c r="A43" s="65" t="s">
        <v>103</v>
      </c>
      <c r="B43" s="61">
        <f t="array" ref="B43:F43">MMULT(B42:F42,TRANSPOSE(B34:F38))</f>
        <v>1.0451297469979108</v>
      </c>
      <c r="C43" s="61">
        <v>0.37583377773812798</v>
      </c>
      <c r="D43" s="61">
        <v>2.7359884566005985</v>
      </c>
      <c r="E43" s="61">
        <v>1.0446615758749498</v>
      </c>
      <c r="F43" s="61">
        <v>1.0446615758749498</v>
      </c>
      <c r="H43" s="65" t="s">
        <v>103</v>
      </c>
      <c r="I43" s="61">
        <f t="array" ref="I43:M43">MMULT(I42:M42,TRANSPOSE($B$34:$F$38))</f>
        <v>1.2006393245503408</v>
      </c>
      <c r="J43" s="61">
        <v>0.86563520770204749</v>
      </c>
      <c r="K43" s="61">
        <v>2.1198623354632575</v>
      </c>
      <c r="L43" s="61">
        <v>1.2043457165086442</v>
      </c>
      <c r="M43" s="61">
        <v>1.2043457165086442</v>
      </c>
    </row>
    <row r="44" spans="1:13" ht="14">
      <c r="A44" s="68" t="s">
        <v>104</v>
      </c>
      <c r="B44" s="61">
        <f>B20*(1-LN(B41)-B43)</f>
        <v>2.9348189529687205E-3</v>
      </c>
      <c r="C44" s="61">
        <f>C20*(1-LN(C41)-C43)</f>
        <v>1.776419308549356</v>
      </c>
      <c r="D44" s="61">
        <f>D20*(1-LN(D41)-D43)</f>
        <v>-2.3841776771766696</v>
      </c>
      <c r="E44" s="61">
        <f>E20*(1-LN(E41)-E43)</f>
        <v>-0.10718778209987949</v>
      </c>
      <c r="F44" s="61">
        <f>F20*(1-LN(F41)-F43)</f>
        <v>-6.3866053501178188E-2</v>
      </c>
      <c r="H44" s="68" t="s">
        <v>104</v>
      </c>
      <c r="I44" s="61">
        <f>$B$20*(1-LN(I41)-I43)</f>
        <v>0.46597689521936952</v>
      </c>
      <c r="J44" s="61">
        <f>$C$20*(1-LN(J41)-J43)</f>
        <v>0.37916482494998621</v>
      </c>
      <c r="K44" s="61">
        <f>$D$20*(1-LN(K41)-K43)</f>
        <v>-3.4382033201234186</v>
      </c>
      <c r="L44" s="61">
        <f>$E$20*(1-LN(L41)-L43)</f>
        <v>-0.49042971962074605</v>
      </c>
      <c r="M44" s="61">
        <f>$F$20*(1-LN(M41)-M43)</f>
        <v>-0.29221437460736116</v>
      </c>
    </row>
    <row r="46" spans="1:13">
      <c r="A46" s="60" t="s">
        <v>105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 enableFormatConditionsCalculation="0">
    <pageSetUpPr fitToPage="1"/>
  </sheetPr>
  <dimension ref="A1:DF73"/>
  <sheetViews>
    <sheetView showGridLines="0" topLeftCell="A7" zoomScale="125" zoomScaleNormal="125" zoomScalePageLayoutView="125" workbookViewId="0">
      <selection activeCell="D22" sqref="D22"/>
    </sheetView>
  </sheetViews>
  <sheetFormatPr baseColWidth="10" defaultColWidth="9.1640625" defaultRowHeight="15" x14ac:dyDescent="0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16384" width="9.1640625" style="32"/>
  </cols>
  <sheetData>
    <row r="1" spans="1:46">
      <c r="A1" s="144" t="s">
        <v>106</v>
      </c>
      <c r="C1" s="144"/>
      <c r="D1" s="144"/>
    </row>
    <row r="2" spans="1:46">
      <c r="A2" s="144" t="s">
        <v>260</v>
      </c>
      <c r="C2" s="144"/>
      <c r="D2" s="144"/>
    </row>
    <row r="3" spans="1:46" s="144" customFormat="1" ht="12">
      <c r="A3" s="144" t="s">
        <v>261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46">
      <c r="A4" s="144"/>
      <c r="C4" s="144"/>
      <c r="D4" s="144"/>
    </row>
    <row r="5" spans="1:46">
      <c r="A5" s="144"/>
      <c r="C5" s="144"/>
      <c r="D5" s="144"/>
    </row>
    <row r="6" spans="1:46">
      <c r="C6" s="144"/>
      <c r="D6" s="144"/>
    </row>
    <row r="7" spans="1:46">
      <c r="B7" s="144"/>
      <c r="C7" s="144"/>
      <c r="D7" s="144"/>
    </row>
    <row r="8" spans="1:46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46">
      <c r="B9" s="203" t="s">
        <v>113</v>
      </c>
      <c r="C9" s="203">
        <f t="array" ref="C9">SUM(C21:G21*C22:G22*C16:G16)</f>
        <v>60.311719504908282</v>
      </c>
      <c r="D9" s="203" t="s">
        <v>114</v>
      </c>
      <c r="E9" s="201"/>
      <c r="F9" s="201"/>
      <c r="G9" s="201"/>
      <c r="H9" s="49"/>
      <c r="Y9" s="35"/>
      <c r="AO9" s="202"/>
      <c r="AT9" s="201"/>
    </row>
    <row r="10" spans="1:46">
      <c r="B10" s="203" t="s">
        <v>293</v>
      </c>
      <c r="C10" s="204">
        <v>25</v>
      </c>
      <c r="D10" s="205" t="s">
        <v>117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46" s="33" customFormat="1">
      <c r="A11" s="206" t="s">
        <v>294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46" s="72" customFormat="1" ht="10">
      <c r="C12" s="36" t="s">
        <v>120</v>
      </c>
      <c r="D12" s="36" t="s">
        <v>121</v>
      </c>
      <c r="E12" s="36" t="s">
        <v>122</v>
      </c>
      <c r="F12" s="36" t="s">
        <v>123</v>
      </c>
      <c r="G12" s="36" t="s">
        <v>124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46" s="72" customFormat="1" ht="10">
      <c r="B13" s="35" t="s">
        <v>125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46" s="72" customFormat="1" ht="10">
      <c r="B14" s="35" t="s">
        <v>126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46" s="72" customFormat="1" ht="10">
      <c r="B15" s="35" t="s">
        <v>127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</row>
    <row r="16" spans="1:46" s="35" customFormat="1" ht="11">
      <c r="B16" s="35" t="s">
        <v>128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</row>
    <row r="17" spans="1:49" s="35" customFormat="1" ht="10">
      <c r="B17" s="35" t="s">
        <v>129</v>
      </c>
      <c r="C17" s="191">
        <f>C21*C22*C16/$C$9</f>
        <v>0.68926661760660102</v>
      </c>
      <c r="D17" s="191">
        <f>D21*D22*D16/$C$9</f>
        <v>0.31073338239339909</v>
      </c>
      <c r="E17" s="191">
        <f>E21*E22*E16/$C$9</f>
        <v>0</v>
      </c>
      <c r="F17" s="191">
        <f>F21*F22*F16/$C$9</f>
        <v>1.6496666704476638E-19</v>
      </c>
      <c r="G17" s="191">
        <f>G21*G22*G16/$C$9</f>
        <v>9.0424424895053898E-20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</row>
    <row r="18" spans="1:49" s="35" customFormat="1" ht="12">
      <c r="A18" s="206" t="s">
        <v>262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</row>
    <row r="19" spans="1:49" s="35" customFormat="1" ht="10">
      <c r="C19" s="36" t="s">
        <v>120</v>
      </c>
      <c r="D19" s="36" t="s">
        <v>121</v>
      </c>
      <c r="E19" s="36" t="s">
        <v>122</v>
      </c>
      <c r="F19" s="36" t="s">
        <v>123</v>
      </c>
      <c r="G19" s="36" t="s">
        <v>124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49" s="72" customFormat="1" ht="12">
      <c r="B20" s="35"/>
      <c r="C20" s="53" t="s">
        <v>347</v>
      </c>
      <c r="D20" s="53" t="s">
        <v>346</v>
      </c>
      <c r="E20" s="53" t="s">
        <v>263</v>
      </c>
      <c r="F20" s="54" t="s">
        <v>130</v>
      </c>
      <c r="G20" s="53" t="s">
        <v>131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</row>
    <row r="21" spans="1:49" s="72" customFormat="1" ht="14">
      <c r="B21" s="72" t="s">
        <v>295</v>
      </c>
      <c r="C21" s="55">
        <v>0.94240000000000002</v>
      </c>
      <c r="D21" s="55">
        <v>5.7599999999999998E-2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132</v>
      </c>
      <c r="M21" s="36"/>
      <c r="N21" s="202"/>
      <c r="O21" s="202"/>
      <c r="P21" s="202"/>
      <c r="Q21" s="202"/>
      <c r="R21" s="80" t="s">
        <v>133</v>
      </c>
      <c r="S21" s="36"/>
      <c r="T21" s="36"/>
      <c r="U21" s="36"/>
      <c r="V21" s="202"/>
      <c r="W21" s="35"/>
      <c r="X21" s="81" t="s">
        <v>134</v>
      </c>
      <c r="Y21" s="36"/>
      <c r="Z21" s="35"/>
      <c r="AA21" s="35"/>
      <c r="AB21" s="202"/>
      <c r="AC21" s="36"/>
      <c r="AD21" s="81" t="s">
        <v>135</v>
      </c>
      <c r="AE21" s="35"/>
      <c r="AF21" s="35"/>
      <c r="AG21" s="35"/>
      <c r="AH21" s="36"/>
      <c r="AI21" s="36"/>
      <c r="AJ21" s="81" t="s">
        <v>136</v>
      </c>
      <c r="AK21" s="35"/>
      <c r="AL21" s="35"/>
      <c r="AN21" s="202"/>
      <c r="AP21" s="72" t="s">
        <v>137</v>
      </c>
      <c r="AU21" s="210"/>
      <c r="AV21" s="210"/>
      <c r="AW21" s="210"/>
    </row>
    <row r="22" spans="1:49" s="72" customFormat="1" ht="12">
      <c r="A22" s="72" t="s">
        <v>264</v>
      </c>
      <c r="B22" s="82" t="s">
        <v>138</v>
      </c>
      <c r="C22" s="56">
        <f>EXP(C52-C51+C50)</f>
        <v>1.0165937269457093</v>
      </c>
      <c r="D22" s="56">
        <f>EXP(D52-D51+D50)</f>
        <v>13.736238789580169</v>
      </c>
      <c r="E22" s="56">
        <f>EXP(E52-E51+E50)</f>
        <v>5.7767109943202897</v>
      </c>
      <c r="F22" s="56">
        <f>EXP(F52-F51+F50)</f>
        <v>16.866343121302087</v>
      </c>
      <c r="G22" s="56">
        <f>EXP(G52-G51+G50)</f>
        <v>1.0635230159607181</v>
      </c>
      <c r="H22" s="82" t="s">
        <v>139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140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140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140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140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140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140</v>
      </c>
      <c r="AU22" s="144"/>
      <c r="AV22" s="144"/>
      <c r="AW22" s="144"/>
    </row>
    <row r="23" spans="1:49" s="72" customFormat="1" ht="12">
      <c r="A23" s="211">
        <v>1</v>
      </c>
      <c r="B23" s="35" t="str">
        <f>'aij-UNIFAC (VLE)'!V10</f>
        <v>CH3</v>
      </c>
      <c r="C23" s="57"/>
      <c r="D23" s="57"/>
      <c r="E23" s="57">
        <v>1</v>
      </c>
      <c r="F23" s="57">
        <v>1</v>
      </c>
      <c r="G23" s="57">
        <v>2</v>
      </c>
      <c r="H23" s="83">
        <f t="array" ref="H23">SUM(C23:G23*$C$21:$G$21)</f>
        <v>3.9999999999999998E-20</v>
      </c>
      <c r="I23" s="36" t="str">
        <f t="shared" ref="I23:I42" si="0">B23</f>
        <v>CH3</v>
      </c>
      <c r="J23" s="84">
        <f t="shared" ref="J23:J42" si="1">C23/C$44</f>
        <v>0</v>
      </c>
      <c r="K23" s="85">
        <f t="shared" ref="K23:K42" si="2">D23/D$44</f>
        <v>0</v>
      </c>
      <c r="L23" s="85">
        <f t="shared" ref="L23:L42" si="3">E23/E$44</f>
        <v>0.33333333333333331</v>
      </c>
      <c r="M23" s="85">
        <f t="shared" ref="M23:M42" si="4">F23/F$44</f>
        <v>0.33333333333333331</v>
      </c>
      <c r="N23" s="85">
        <f t="shared" ref="N23:N42" si="5">G23/G$44</f>
        <v>0.4</v>
      </c>
      <c r="O23" s="212">
        <f t="shared" ref="O23:O42" si="6">H23/$H$43</f>
        <v>7.0028011204481788E-21</v>
      </c>
      <c r="P23" s="84">
        <f>J23*'aij-UNIFAC (VLE)'!$X10/J$43</f>
        <v>0</v>
      </c>
      <c r="Q23" s="85">
        <f>K23*'aij-UNIFAC (VLE)'!$X10/K$43</f>
        <v>0</v>
      </c>
      <c r="R23" s="85">
        <f>L23*'aij-UNIFAC (VLE)'!$X10/L$43</f>
        <v>0.32465543644716688</v>
      </c>
      <c r="S23" s="85">
        <f>M23*'aij-UNIFAC (VLE)'!$X10/M$43</f>
        <v>0.32766615146831529</v>
      </c>
      <c r="T23" s="85">
        <f>N23*'aij-UNIFAC (VLE)'!$X10/N$43</f>
        <v>0.51145958986730999</v>
      </c>
      <c r="U23" s="87">
        <f>O23*'aij-UNIFAC (VLE)'!$X10/O$43</f>
        <v>1.0816812183404148E-20</v>
      </c>
      <c r="V23" s="84">
        <f t="array" ref="V23:AA42">MMULT(TRANSPOSE(tau),P23:U42)</f>
        <v>1</v>
      </c>
      <c r="W23" s="88">
        <v>0.94613046106461629</v>
      </c>
      <c r="X23" s="85">
        <v>0.69414789551785028</v>
      </c>
      <c r="Y23" s="85">
        <v>0.81073147016518665</v>
      </c>
      <c r="Z23" s="88">
        <v>1</v>
      </c>
      <c r="AA23" s="89">
        <v>0.99858305757034138</v>
      </c>
      <c r="AB23" s="213">
        <f t="shared" ref="AB23:AB42" si="7">P23/V23</f>
        <v>0</v>
      </c>
      <c r="AC23" s="214">
        <f t="shared" ref="AC23:AC42" si="8">Q23/W23</f>
        <v>0</v>
      </c>
      <c r="AD23" s="214">
        <f t="shared" ref="AD23:AD42" si="9">R23/X23</f>
        <v>0.46770355214426812</v>
      </c>
      <c r="AE23" s="214">
        <f t="shared" ref="AE23:AE42" si="10">S23/Y23</f>
        <v>0.40416113537760323</v>
      </c>
      <c r="AF23" s="214">
        <f t="shared" ref="AF23:AF42" si="11">T23/Z23</f>
        <v>0.51145958986730999</v>
      </c>
      <c r="AG23" s="212">
        <f t="shared" ref="AG23:AG42" si="12">U23/AA23</f>
        <v>1.0832160731549563E-20</v>
      </c>
      <c r="AH23" s="84">
        <f t="array" ref="AH23:AM42">MMULT(tau,AB23:AG42)</f>
        <v>1</v>
      </c>
      <c r="AI23" s="85">
        <v>9.6479931281565207E-2</v>
      </c>
      <c r="AJ23" s="88">
        <v>0.86177004640731925</v>
      </c>
      <c r="AK23" s="88">
        <v>0.69660671354206738</v>
      </c>
      <c r="AL23" s="88">
        <v>1</v>
      </c>
      <c r="AM23" s="89">
        <v>0.99618302098207634</v>
      </c>
      <c r="AN23" s="92">
        <f>'aij-UNIFAC (VLE)'!$X10*(1-LN(V23)-AH23)</f>
        <v>0</v>
      </c>
      <c r="AO23" s="93">
        <f>'aij-UNIFAC (VLE)'!$X10*(1-LN(W23)-AI23)</f>
        <v>0.81314285828664878</v>
      </c>
      <c r="AP23" s="93">
        <f>'aij-UNIFAC (VLE)'!$X10*(1-LN(X23)-AJ23)</f>
        <v>0.42679856013492545</v>
      </c>
      <c r="AQ23" s="93">
        <f>'aij-UNIFAC (VLE)'!$X10*(1-LN(Y23)-AK23)</f>
        <v>0.43520350098588362</v>
      </c>
      <c r="AR23" s="93">
        <f>'aij-UNIFAC (VLE)'!$X10*(1-LN(Z23)-AL23)</f>
        <v>0</v>
      </c>
      <c r="AS23" s="94">
        <f>'aij-UNIFAC (VLE)'!$X10*(1-LN(AA23)-AM23)</f>
        <v>4.4392174683045051E-3</v>
      </c>
      <c r="AU23" s="144"/>
      <c r="AV23" s="144"/>
      <c r="AW23" s="144"/>
    </row>
    <row r="24" spans="1:49" s="72" customFormat="1" ht="12">
      <c r="A24" s="211">
        <v>2</v>
      </c>
      <c r="B24" s="35" t="str">
        <f>'aij-UNIFAC (VLE)'!V11</f>
        <v>CH2</v>
      </c>
      <c r="C24" s="57">
        <v>6</v>
      </c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5.6543999999999999</v>
      </c>
      <c r="I24" s="36" t="str">
        <f t="shared" si="0"/>
        <v>CH2</v>
      </c>
      <c r="J24" s="95">
        <f t="shared" si="1"/>
        <v>1</v>
      </c>
      <c r="K24" s="96">
        <f t="shared" si="2"/>
        <v>0</v>
      </c>
      <c r="L24" s="96">
        <f t="shared" si="3"/>
        <v>0.33333333333333331</v>
      </c>
      <c r="M24" s="96">
        <f t="shared" si="4"/>
        <v>0.33333333333333331</v>
      </c>
      <c r="N24" s="96">
        <f t="shared" si="5"/>
        <v>0.6</v>
      </c>
      <c r="O24" s="215">
        <f t="shared" si="6"/>
        <v>0.98991596638655466</v>
      </c>
      <c r="P24" s="95">
        <f>J24*'aij-UNIFAC (VLE)'!$X11/J$43</f>
        <v>1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0.20865533230293665</v>
      </c>
      <c r="T24" s="96">
        <f>N24*'aij-UNIFAC (VLE)'!$X11/N$43</f>
        <v>0.48854041013269001</v>
      </c>
      <c r="U24" s="98">
        <f>O24*'aij-UNIFAC (VLE)'!$X11/O$43</f>
        <v>0.97369677822269562</v>
      </c>
      <c r="V24" s="95">
        <v>1</v>
      </c>
      <c r="W24" s="99">
        <v>0.94613046106461629</v>
      </c>
      <c r="X24" s="96">
        <v>0.69414789551785028</v>
      </c>
      <c r="Y24" s="96">
        <v>0.81073147016518665</v>
      </c>
      <c r="Z24" s="99">
        <v>1</v>
      </c>
      <c r="AA24" s="100">
        <v>0.99858305757034138</v>
      </c>
      <c r="AB24" s="216">
        <f t="shared" si="7"/>
        <v>1</v>
      </c>
      <c r="AC24" s="217">
        <f t="shared" si="8"/>
        <v>0</v>
      </c>
      <c r="AD24" s="217">
        <f t="shared" si="9"/>
        <v>0.29783009216734063</v>
      </c>
      <c r="AE24" s="217">
        <f t="shared" si="10"/>
        <v>0.25736676073573794</v>
      </c>
      <c r="AF24" s="217">
        <f t="shared" si="11"/>
        <v>0.48854041013269001</v>
      </c>
      <c r="AG24" s="215">
        <f t="shared" si="12"/>
        <v>0.97507840819150615</v>
      </c>
      <c r="AH24" s="95">
        <v>1</v>
      </c>
      <c r="AI24" s="96">
        <v>9.6479931281565207E-2</v>
      </c>
      <c r="AJ24" s="99">
        <v>0.86177004640731925</v>
      </c>
      <c r="AK24" s="99">
        <v>0.69660671354206738</v>
      </c>
      <c r="AL24" s="99">
        <v>1</v>
      </c>
      <c r="AM24" s="100">
        <v>0.99618302098207634</v>
      </c>
      <c r="AN24" s="103">
        <f>'aij-UNIFAC (VLE)'!$X11*(1-LN(V24)-AH24)</f>
        <v>0</v>
      </c>
      <c r="AO24" s="104">
        <f>'aij-UNIFAC (VLE)'!$X11*(1-LN(W24)-AI24)</f>
        <v>0.51780323522970562</v>
      </c>
      <c r="AP24" s="104">
        <f>'aij-UNIFAC (VLE)'!$X11*(1-LN(X24)-AJ24)</f>
        <v>0.27178210197271196</v>
      </c>
      <c r="AQ24" s="104">
        <f>'aij-UNIFAC (VLE)'!$X11*(1-LN(Y24)-AK24)</f>
        <v>0.27713430487308632</v>
      </c>
      <c r="AR24" s="104">
        <f>'aij-UNIFAC (VLE)'!$X11*(1-LN(Z24)-AL24)</f>
        <v>0</v>
      </c>
      <c r="AS24" s="105">
        <f>'aij-UNIFAC (VLE)'!$X11*(1-LN(AA24)-AM24)</f>
        <v>2.8268601802882466E-3</v>
      </c>
      <c r="AU24" s="144"/>
      <c r="AV24" s="144"/>
      <c r="AW24" s="144"/>
    </row>
    <row r="25" spans="1:49" s="72" customFormat="1" ht="10">
      <c r="A25" s="211">
        <v>3</v>
      </c>
      <c r="B25" s="35" t="str">
        <f>'aij-UNIFAC (VLE)'!V12</f>
        <v>CH</v>
      </c>
      <c r="C25" s="57"/>
      <c r="D25" s="57"/>
      <c r="E25" s="57"/>
      <c r="F25" s="57"/>
      <c r="G25" s="57"/>
      <c r="H25" s="83">
        <f t="array" ref="H25">SUM(C25:G25*$C$21:$G$21)</f>
        <v>0</v>
      </c>
      <c r="I25" s="36" t="str">
        <f t="shared" si="0"/>
        <v>CH</v>
      </c>
      <c r="J25" s="95">
        <f t="shared" si="1"/>
        <v>0</v>
      </c>
      <c r="K25" s="96">
        <f t="shared" si="2"/>
        <v>0</v>
      </c>
      <c r="L25" s="96">
        <f t="shared" si="3"/>
        <v>0</v>
      </c>
      <c r="M25" s="96">
        <f t="shared" si="4"/>
        <v>0</v>
      </c>
      <c r="N25" s="96">
        <f t="shared" si="5"/>
        <v>0</v>
      </c>
      <c r="O25" s="215">
        <f t="shared" si="6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</v>
      </c>
      <c r="W25" s="99">
        <v>0.94613046106461629</v>
      </c>
      <c r="X25" s="99">
        <v>0.69414789551785028</v>
      </c>
      <c r="Y25" s="99">
        <v>0.81073147016518665</v>
      </c>
      <c r="Z25" s="99">
        <v>1</v>
      </c>
      <c r="AA25" s="100">
        <v>0.99858305757034138</v>
      </c>
      <c r="AB25" s="216">
        <f t="shared" si="7"/>
        <v>0</v>
      </c>
      <c r="AC25" s="217">
        <f t="shared" si="8"/>
        <v>0</v>
      </c>
      <c r="AD25" s="217">
        <f t="shared" si="9"/>
        <v>0</v>
      </c>
      <c r="AE25" s="217">
        <f t="shared" si="10"/>
        <v>0</v>
      </c>
      <c r="AF25" s="217">
        <f t="shared" si="11"/>
        <v>0</v>
      </c>
      <c r="AG25" s="215">
        <f t="shared" si="12"/>
        <v>0</v>
      </c>
      <c r="AH25" s="106">
        <v>1</v>
      </c>
      <c r="AI25" s="99">
        <v>9.6479931281565207E-2</v>
      </c>
      <c r="AJ25" s="99">
        <v>0.86177004640731925</v>
      </c>
      <c r="AK25" s="99">
        <v>0.69660671354206738</v>
      </c>
      <c r="AL25" s="99">
        <v>1</v>
      </c>
      <c r="AM25" s="100">
        <v>0.99618302098207634</v>
      </c>
      <c r="AN25" s="103">
        <f>'aij-UNIFAC (VLE)'!$X12*(1-LN(V25)-AH25)</f>
        <v>0</v>
      </c>
      <c r="AO25" s="104">
        <f>'aij-UNIFAC (VLE)'!$X12*(1-LN(W25)-AI25)</f>
        <v>0.21862803265254235</v>
      </c>
      <c r="AP25" s="104">
        <f>'aij-UNIFAC (VLE)'!$X12*(1-LN(X25)-AJ25)</f>
        <v>0.11475244305514505</v>
      </c>
      <c r="AQ25" s="104">
        <f>'aij-UNIFAC (VLE)'!$X12*(1-LN(Y25)-AK25)</f>
        <v>0.11701226205752532</v>
      </c>
      <c r="AR25" s="104">
        <f>'aij-UNIFAC (VLE)'!$X12*(1-LN(Z25)-AL25)</f>
        <v>0</v>
      </c>
      <c r="AS25" s="105">
        <f>'aij-UNIFAC (VLE)'!$X12*(1-LN(AA25)-AM25)</f>
        <v>1.1935631872328153E-3</v>
      </c>
    </row>
    <row r="26" spans="1:49" s="72" customFormat="1" ht="10">
      <c r="A26" s="211">
        <v>9</v>
      </c>
      <c r="B26" s="35" t="str">
        <f>'aij-UNIFAC (VLE)'!V13</f>
        <v>ACH</v>
      </c>
      <c r="C26" s="57"/>
      <c r="D26" s="57"/>
      <c r="E26" s="57"/>
      <c r="F26" s="57"/>
      <c r="G26" s="57"/>
      <c r="H26" s="83">
        <f t="array" ref="H26">SUM(C26:G26*$C$21:$G$21)</f>
        <v>0</v>
      </c>
      <c r="I26" s="36" t="str">
        <f t="shared" si="0"/>
        <v>ACH</v>
      </c>
      <c r="J26" s="95">
        <f t="shared" si="1"/>
        <v>0</v>
      </c>
      <c r="K26" s="96">
        <f t="shared" si="2"/>
        <v>0</v>
      </c>
      <c r="L26" s="96">
        <f t="shared" si="3"/>
        <v>0</v>
      </c>
      <c r="M26" s="96">
        <f t="shared" si="4"/>
        <v>0</v>
      </c>
      <c r="N26" s="96">
        <f t="shared" si="5"/>
        <v>0</v>
      </c>
      <c r="O26" s="215">
        <f t="shared" si="6"/>
        <v>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0</v>
      </c>
      <c r="V26" s="95">
        <v>0.81462204265395999</v>
      </c>
      <c r="W26" s="96">
        <v>1.1825827546595307</v>
      </c>
      <c r="X26" s="96">
        <v>0.81310145961048286</v>
      </c>
      <c r="Y26" s="99">
        <v>0.78022226540407535</v>
      </c>
      <c r="Z26" s="99">
        <v>0.81462204265395999</v>
      </c>
      <c r="AA26" s="100">
        <v>0.82430059486717722</v>
      </c>
      <c r="AB26" s="216">
        <f t="shared" si="7"/>
        <v>0</v>
      </c>
      <c r="AC26" s="217">
        <f t="shared" si="8"/>
        <v>0</v>
      </c>
      <c r="AD26" s="217">
        <f t="shared" si="9"/>
        <v>0</v>
      </c>
      <c r="AE26" s="217">
        <f t="shared" si="10"/>
        <v>0</v>
      </c>
      <c r="AF26" s="217">
        <f t="shared" si="11"/>
        <v>0</v>
      </c>
      <c r="AG26" s="215">
        <f t="shared" si="12"/>
        <v>0</v>
      </c>
      <c r="AH26" s="95">
        <v>1.0380009113747288</v>
      </c>
      <c r="AI26" s="99">
        <v>0.11794761735227337</v>
      </c>
      <c r="AJ26" s="99">
        <v>0.94152419087402739</v>
      </c>
      <c r="AK26" s="99">
        <v>0.80028488520762786</v>
      </c>
      <c r="AL26" s="99">
        <v>1.0380009113747288</v>
      </c>
      <c r="AM26" s="100">
        <v>1.0379328626702207</v>
      </c>
      <c r="AN26" s="103">
        <f>'aij-UNIFAC (VLE)'!$X13*(1-LN(V26)-AH26)</f>
        <v>6.6812045310916807E-2</v>
      </c>
      <c r="AO26" s="104">
        <f>'aij-UNIFAC (VLE)'!$X13*(1-LN(W26)-AI26)</f>
        <v>0.28574062436548003</v>
      </c>
      <c r="AP26" s="104">
        <f>'aij-UNIFAC (VLE)'!$X13*(1-LN(X26)-AJ26)</f>
        <v>0.10615007591115339</v>
      </c>
      <c r="AQ26" s="104">
        <f>'aij-UNIFAC (VLE)'!$X13*(1-LN(Y26)-AK26)</f>
        <v>0.1791566236147081</v>
      </c>
      <c r="AR26" s="104">
        <f>'aij-UNIFAC (VLE)'!$X13*(1-LN(Z26)-AL26)</f>
        <v>6.6812045310916807E-2</v>
      </c>
      <c r="AS26" s="105">
        <f>'aij-UNIFAC (VLE)'!$X13*(1-LN(AA26)-AM26)</f>
        <v>6.2114861331820231E-2</v>
      </c>
    </row>
    <row r="27" spans="1:49" s="72" customFormat="1" ht="10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0"/>
        <v>AC</v>
      </c>
      <c r="J27" s="95">
        <f t="shared" si="1"/>
        <v>0</v>
      </c>
      <c r="K27" s="96">
        <f t="shared" si="2"/>
        <v>0</v>
      </c>
      <c r="L27" s="96">
        <f t="shared" si="3"/>
        <v>0</v>
      </c>
      <c r="M27" s="96">
        <f t="shared" si="4"/>
        <v>0</v>
      </c>
      <c r="N27" s="96">
        <f t="shared" si="5"/>
        <v>0</v>
      </c>
      <c r="O27" s="215">
        <f t="shared" si="6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0.81462204265395999</v>
      </c>
      <c r="W27" s="96">
        <v>1.1825827546595307</v>
      </c>
      <c r="X27" s="96">
        <v>0.81310145961048286</v>
      </c>
      <c r="Y27" s="99">
        <v>0.78022226540407535</v>
      </c>
      <c r="Z27" s="99">
        <v>0.81462204265395999</v>
      </c>
      <c r="AA27" s="100">
        <v>0.82430059486717722</v>
      </c>
      <c r="AB27" s="216">
        <f t="shared" si="7"/>
        <v>0</v>
      </c>
      <c r="AC27" s="217">
        <f t="shared" si="8"/>
        <v>0</v>
      </c>
      <c r="AD27" s="217">
        <f t="shared" si="9"/>
        <v>0</v>
      </c>
      <c r="AE27" s="217">
        <f t="shared" si="10"/>
        <v>0</v>
      </c>
      <c r="AF27" s="217">
        <f t="shared" si="11"/>
        <v>0</v>
      </c>
      <c r="AG27" s="215">
        <f t="shared" si="12"/>
        <v>0</v>
      </c>
      <c r="AH27" s="95">
        <v>1.0380009113747288</v>
      </c>
      <c r="AI27" s="99">
        <v>0.11794761735227337</v>
      </c>
      <c r="AJ27" s="99">
        <v>0.94152419087402739</v>
      </c>
      <c r="AK27" s="99">
        <v>0.80028488520762786</v>
      </c>
      <c r="AL27" s="99">
        <v>1.0380009113747288</v>
      </c>
      <c r="AM27" s="100">
        <v>1.0379328626702207</v>
      </c>
      <c r="AN27" s="103">
        <f>'aij-UNIFAC (VLE)'!$X14*(1-LN(V27)-AH27)</f>
        <v>2.0043613593275039E-2</v>
      </c>
      <c r="AO27" s="104">
        <f>'aij-UNIFAC (VLE)'!$X14*(1-LN(W27)-AI27)</f>
        <v>8.572218730964401E-2</v>
      </c>
      <c r="AP27" s="104">
        <f>'aij-UNIFAC (VLE)'!$X14*(1-LN(X27)-AJ27)</f>
        <v>3.1845022773346013E-2</v>
      </c>
      <c r="AQ27" s="104">
        <f>'aij-UNIFAC (VLE)'!$X14*(1-LN(Y27)-AK27)</f>
        <v>5.3746987084412425E-2</v>
      </c>
      <c r="AR27" s="104">
        <f>'aij-UNIFAC (VLE)'!$X14*(1-LN(Z27)-AL27)</f>
        <v>2.0043613593275039E-2</v>
      </c>
      <c r="AS27" s="105">
        <f>'aij-UNIFAC (VLE)'!$X14*(1-LN(AA27)-AM27)</f>
        <v>1.8634458399546066E-2</v>
      </c>
    </row>
    <row r="28" spans="1:49" s="72" customFormat="1" ht="10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0"/>
        <v>ACCH3</v>
      </c>
      <c r="J28" s="95">
        <f t="shared" si="1"/>
        <v>0</v>
      </c>
      <c r="K28" s="96">
        <f t="shared" si="2"/>
        <v>0</v>
      </c>
      <c r="L28" s="96">
        <f t="shared" si="3"/>
        <v>0</v>
      </c>
      <c r="M28" s="96">
        <f t="shared" si="4"/>
        <v>0</v>
      </c>
      <c r="N28" s="96">
        <f t="shared" si="5"/>
        <v>0</v>
      </c>
      <c r="O28" s="215">
        <f t="shared" si="6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0.77369135021671831</v>
      </c>
      <c r="W28" s="96">
        <v>1.160967525690739</v>
      </c>
      <c r="X28" s="96">
        <v>0.75768766549455413</v>
      </c>
      <c r="Y28" s="99">
        <v>0.84016052039525224</v>
      </c>
      <c r="Z28" s="99">
        <v>0.77369135021671831</v>
      </c>
      <c r="AA28" s="100">
        <v>0.78387796134927767</v>
      </c>
      <c r="AB28" s="216">
        <f t="shared" si="7"/>
        <v>0</v>
      </c>
      <c r="AC28" s="217">
        <f t="shared" si="8"/>
        <v>0</v>
      </c>
      <c r="AD28" s="217">
        <f t="shared" si="9"/>
        <v>0</v>
      </c>
      <c r="AE28" s="217">
        <f t="shared" si="10"/>
        <v>0</v>
      </c>
      <c r="AF28" s="217">
        <f t="shared" si="11"/>
        <v>0</v>
      </c>
      <c r="AG28" s="215">
        <f t="shared" si="12"/>
        <v>0</v>
      </c>
      <c r="AH28" s="95">
        <v>1.2633601353240085</v>
      </c>
      <c r="AI28" s="99">
        <v>0.13223922138243857</v>
      </c>
      <c r="AJ28" s="99">
        <v>1.0149190465993372</v>
      </c>
      <c r="AK28" s="99">
        <v>0.90061819300939439</v>
      </c>
      <c r="AL28" s="99">
        <v>1.2633601353240085</v>
      </c>
      <c r="AM28" s="100">
        <v>1.2608020092808141</v>
      </c>
      <c r="AN28" s="103">
        <f>'aij-UNIFAC (VLE)'!$X15*(1-LN(V28)-AH28)</f>
        <v>-6.5609859726776486E-3</v>
      </c>
      <c r="AO28" s="104">
        <f>'aij-UNIFAC (VLE)'!$X15*(1-LN(W28)-AI28)</f>
        <v>0.69551482176150081</v>
      </c>
      <c r="AP28" s="104">
        <f>'aij-UNIFAC (VLE)'!$X15*(1-LN(X28)-AJ28)</f>
        <v>0.25416290301685357</v>
      </c>
      <c r="AQ28" s="104">
        <f>'aij-UNIFAC (VLE)'!$X15*(1-LN(Y28)-AK28)</f>
        <v>0.2647907049493462</v>
      </c>
      <c r="AR28" s="104">
        <f>'aij-UNIFAC (VLE)'!$X15*(1-LN(Z28)-AL28)</f>
        <v>-6.5609859726776486E-3</v>
      </c>
      <c r="AS28" s="105">
        <f>'aij-UNIFAC (VLE)'!$X15*(1-LN(AA28)-AM28)</f>
        <v>-1.6746474524655535E-2</v>
      </c>
    </row>
    <row r="29" spans="1:49" s="72" customFormat="1" ht="10">
      <c r="A29" s="211">
        <v>12</v>
      </c>
      <c r="B29" s="35" t="str">
        <f>'aij-UNIFAC (VLE)'!V16</f>
        <v>ACCH2</v>
      </c>
      <c r="C29" s="57"/>
      <c r="D29" s="57"/>
      <c r="E29" s="57"/>
      <c r="F29" s="57"/>
      <c r="G29" s="57"/>
      <c r="H29" s="83">
        <f t="array" ref="H29">SUM(C29:G29*$C$21:$G$21)</f>
        <v>0</v>
      </c>
      <c r="I29" s="36" t="str">
        <f t="shared" si="0"/>
        <v>ACCH2</v>
      </c>
      <c r="J29" s="95">
        <f t="shared" si="1"/>
        <v>0</v>
      </c>
      <c r="K29" s="96">
        <f t="shared" si="2"/>
        <v>0</v>
      </c>
      <c r="L29" s="96">
        <f t="shared" si="3"/>
        <v>0</v>
      </c>
      <c r="M29" s="96">
        <f t="shared" si="4"/>
        <v>0</v>
      </c>
      <c r="N29" s="96">
        <f t="shared" si="5"/>
        <v>0</v>
      </c>
      <c r="O29" s="215">
        <f t="shared" si="6"/>
        <v>0</v>
      </c>
      <c r="P29" s="95">
        <f>J29*'aij-UNIFAC (VLE)'!$X16/J$43</f>
        <v>0</v>
      </c>
      <c r="Q29" s="96">
        <f>K29*'aij-UNIFAC (VLE)'!$X16/K$43</f>
        <v>0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</v>
      </c>
      <c r="V29" s="95">
        <v>0.77369135021671831</v>
      </c>
      <c r="W29" s="96">
        <v>1.160967525690739</v>
      </c>
      <c r="X29" s="96">
        <v>0.75768766549455413</v>
      </c>
      <c r="Y29" s="99">
        <v>0.84016052039525224</v>
      </c>
      <c r="Z29" s="99">
        <v>0.77369135021671831</v>
      </c>
      <c r="AA29" s="100">
        <v>0.78387796134927767</v>
      </c>
      <c r="AB29" s="216">
        <f t="shared" si="7"/>
        <v>0</v>
      </c>
      <c r="AC29" s="217">
        <f t="shared" si="8"/>
        <v>0</v>
      </c>
      <c r="AD29" s="217">
        <f t="shared" si="9"/>
        <v>0</v>
      </c>
      <c r="AE29" s="217">
        <f t="shared" si="10"/>
        <v>0</v>
      </c>
      <c r="AF29" s="217">
        <f t="shared" si="11"/>
        <v>0</v>
      </c>
      <c r="AG29" s="215">
        <f t="shared" si="12"/>
        <v>0</v>
      </c>
      <c r="AH29" s="95">
        <v>1.2633601353240085</v>
      </c>
      <c r="AI29" s="99">
        <v>0.13223922138243857</v>
      </c>
      <c r="AJ29" s="99">
        <v>1.0149190465993372</v>
      </c>
      <c r="AK29" s="99">
        <v>0.90061819300939439</v>
      </c>
      <c r="AL29" s="99">
        <v>1.2633601353240085</v>
      </c>
      <c r="AM29" s="100">
        <v>1.2608020092808141</v>
      </c>
      <c r="AN29" s="103">
        <f>'aij-UNIFAC (VLE)'!$X16*(1-LN(V29)-AH29)</f>
        <v>-4.4733995268256702E-3</v>
      </c>
      <c r="AO29" s="104">
        <f>'aij-UNIFAC (VLE)'!$X16*(1-LN(W29)-AI29)</f>
        <v>0.4742146512010233</v>
      </c>
      <c r="AP29" s="104">
        <f>'aij-UNIFAC (VLE)'!$X16*(1-LN(X29)-AJ29)</f>
        <v>0.17329288842058199</v>
      </c>
      <c r="AQ29" s="104">
        <f>'aij-UNIFAC (VLE)'!$X16*(1-LN(Y29)-AK29)</f>
        <v>0.18053911701091788</v>
      </c>
      <c r="AR29" s="104">
        <f>'aij-UNIFAC (VLE)'!$X16*(1-LN(Z29)-AL29)</f>
        <v>-4.4733995268256702E-3</v>
      </c>
      <c r="AS29" s="105">
        <f>'aij-UNIFAC (VLE)'!$X16*(1-LN(AA29)-AM29)</f>
        <v>-1.1418050812265138E-2</v>
      </c>
    </row>
    <row r="30" spans="1:49" s="72" customFormat="1" ht="10">
      <c r="A30" s="211">
        <v>14</v>
      </c>
      <c r="B30" s="35" t="str">
        <f>'aij-UNIFAC (VLE)'!V17</f>
        <v>OH</v>
      </c>
      <c r="C30" s="57"/>
      <c r="D30" s="57"/>
      <c r="E30" s="57"/>
      <c r="F30" s="57">
        <v>1</v>
      </c>
      <c r="G30" s="57"/>
      <c r="H30" s="83">
        <f t="array" ref="H30">SUM(C30:G30*$C$21:$G$21)</f>
        <v>9.9999999999999995E-21</v>
      </c>
      <c r="I30" s="36" t="str">
        <f t="shared" si="0"/>
        <v>OH</v>
      </c>
      <c r="J30" s="95">
        <f t="shared" si="1"/>
        <v>0</v>
      </c>
      <c r="K30" s="96">
        <f t="shared" si="2"/>
        <v>0</v>
      </c>
      <c r="L30" s="96">
        <f t="shared" si="3"/>
        <v>0</v>
      </c>
      <c r="M30" s="96">
        <f t="shared" si="4"/>
        <v>0.33333333333333331</v>
      </c>
      <c r="N30" s="96">
        <f t="shared" si="5"/>
        <v>0</v>
      </c>
      <c r="O30" s="215">
        <f t="shared" si="6"/>
        <v>1.7507002801120447E-21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0.46367851622874806</v>
      </c>
      <c r="T30" s="96">
        <f>N30*'aij-UNIFAC (VLE)'!$X17/N$43</f>
        <v>0</v>
      </c>
      <c r="U30" s="98">
        <f>O30*'aij-UNIFAC (VLE)'!$X17/O$43</f>
        <v>3.8267024233741094E-21</v>
      </c>
      <c r="V30" s="95">
        <v>3.6562315037278185E-2</v>
      </c>
      <c r="W30" s="96">
        <v>0.43366388915280352</v>
      </c>
      <c r="X30" s="96">
        <v>0.79703479563269386</v>
      </c>
      <c r="Y30" s="99">
        <v>0.48328767127965305</v>
      </c>
      <c r="Z30" s="99">
        <v>3.6562315037278185E-2</v>
      </c>
      <c r="AA30" s="100">
        <v>4.7007365809355481E-2</v>
      </c>
      <c r="AB30" s="216">
        <f t="shared" si="7"/>
        <v>0</v>
      </c>
      <c r="AC30" s="217">
        <f t="shared" si="8"/>
        <v>0</v>
      </c>
      <c r="AD30" s="217">
        <f t="shared" si="9"/>
        <v>0</v>
      </c>
      <c r="AE30" s="217">
        <f t="shared" si="10"/>
        <v>0.95942550117410674</v>
      </c>
      <c r="AF30" s="217">
        <f t="shared" si="11"/>
        <v>0</v>
      </c>
      <c r="AG30" s="215">
        <f t="shared" si="12"/>
        <v>8.1406442532725651E-20</v>
      </c>
      <c r="AH30" s="95">
        <v>0.5918108706562526</v>
      </c>
      <c r="AI30" s="99">
        <v>1.5838136688873363</v>
      </c>
      <c r="AJ30" s="99">
        <v>0.91008080619852705</v>
      </c>
      <c r="AK30" s="99">
        <v>1.3509249013363422</v>
      </c>
      <c r="AL30" s="99">
        <v>0.5918108706562526</v>
      </c>
      <c r="AM30" s="100">
        <v>0.92351513212033831</v>
      </c>
      <c r="AN30" s="103">
        <f>'aij-UNIFAC (VLE)'!$X17*(1-LN(V30)-AH30)</f>
        <v>4.4603116105873077</v>
      </c>
      <c r="AO30" s="104">
        <f>'aij-UNIFAC (VLE)'!$X17*(1-LN(W30)-AI30)</f>
        <v>0.3020061899899007</v>
      </c>
      <c r="AP30" s="104">
        <f>'aij-UNIFAC (VLE)'!$X17*(1-LN(X30)-AJ30)</f>
        <v>0.38013136402445902</v>
      </c>
      <c r="AQ30" s="104">
        <f>'aij-UNIFAC (VLE)'!$X17*(1-LN(Y30)-AK30)</f>
        <v>0.45146197029200469</v>
      </c>
      <c r="AR30" s="104">
        <f>'aij-UNIFAC (VLE)'!$X17*(1-LN(Z30)-AL30)</f>
        <v>4.4603116105873077</v>
      </c>
      <c r="AS30" s="105">
        <f>'aij-UNIFAC (VLE)'!$X17*(1-LN(AA30)-AM30)</f>
        <v>3.7607230056995347</v>
      </c>
    </row>
    <row r="31" spans="1:49" s="72" customFormat="1" ht="10">
      <c r="A31" s="211">
        <v>15</v>
      </c>
      <c r="B31" s="35" t="str">
        <f>'aij-UNIFAC (VLE)'!V18</f>
        <v>CH3OH</v>
      </c>
      <c r="C31" s="57"/>
      <c r="D31" s="57">
        <v>1</v>
      </c>
      <c r="E31" s="57"/>
      <c r="F31" s="57"/>
      <c r="G31" s="57"/>
      <c r="H31" s="83">
        <f t="array" ref="H31">SUM(C31:G31*$C$21:$G$21)</f>
        <v>5.7599999999999998E-2</v>
      </c>
      <c r="I31" s="36" t="str">
        <f t="shared" si="0"/>
        <v>CH3OH</v>
      </c>
      <c r="J31" s="95">
        <f t="shared" si="1"/>
        <v>0</v>
      </c>
      <c r="K31" s="96">
        <f t="shared" si="2"/>
        <v>1</v>
      </c>
      <c r="L31" s="96">
        <f t="shared" si="3"/>
        <v>0</v>
      </c>
      <c r="M31" s="96">
        <f t="shared" si="4"/>
        <v>0</v>
      </c>
      <c r="N31" s="96">
        <f t="shared" si="5"/>
        <v>0</v>
      </c>
      <c r="O31" s="215">
        <f t="shared" si="6"/>
        <v>1.0084033613445379E-2</v>
      </c>
      <c r="P31" s="95">
        <f>J31*'aij-UNIFAC (VLE)'!$X18/J$43</f>
        <v>0</v>
      </c>
      <c r="Q31" s="96">
        <f>K31*'aij-UNIFAC (VLE)'!$X18/K$43</f>
        <v>1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2.6303221777304278E-2</v>
      </c>
      <c r="V31" s="95">
        <v>9.6479931281565207E-2</v>
      </c>
      <c r="W31" s="96">
        <v>1</v>
      </c>
      <c r="X31" s="96">
        <v>0.20118381498930404</v>
      </c>
      <c r="Y31" s="99">
        <v>0.78612463187156723</v>
      </c>
      <c r="Z31" s="99">
        <v>9.6479931281565207E-2</v>
      </c>
      <c r="AA31" s="100">
        <v>0.12024542002931139</v>
      </c>
      <c r="AB31" s="216">
        <f t="shared" si="7"/>
        <v>0</v>
      </c>
      <c r="AC31" s="217">
        <f t="shared" si="8"/>
        <v>1</v>
      </c>
      <c r="AD31" s="217">
        <f t="shared" si="9"/>
        <v>0</v>
      </c>
      <c r="AE31" s="217">
        <f t="shared" si="10"/>
        <v>0</v>
      </c>
      <c r="AF31" s="217">
        <f t="shared" si="11"/>
        <v>0</v>
      </c>
      <c r="AG31" s="215">
        <f t="shared" si="12"/>
        <v>0.21874614243846063</v>
      </c>
      <c r="AH31" s="95">
        <v>0.94613046106461629</v>
      </c>
      <c r="AI31" s="99">
        <v>1</v>
      </c>
      <c r="AJ31" s="99">
        <v>2.4783907121321302</v>
      </c>
      <c r="AK31" s="99">
        <v>1.0419598875483618</v>
      </c>
      <c r="AL31" s="99">
        <v>0.94613046106461629</v>
      </c>
      <c r="AM31" s="100">
        <v>1.1412975263548424</v>
      </c>
      <c r="AN31" s="103">
        <f>'aij-UNIFAC (VLE)'!$X18*(1-LN(V31)-AH31)</f>
        <v>3.4257589895827376</v>
      </c>
      <c r="AO31" s="104">
        <f>'aij-UNIFAC (VLE)'!$X18*(1-LN(W31)-AI31)</f>
        <v>0</v>
      </c>
      <c r="AP31" s="104">
        <f>'aij-UNIFAC (VLE)'!$X18*(1-LN(X31)-AJ31)</f>
        <v>0.1792084623391331</v>
      </c>
      <c r="AQ31" s="104">
        <f>'aij-UNIFAC (VLE)'!$X18*(1-LN(Y31)-AK31)</f>
        <v>0.28450982709282269</v>
      </c>
      <c r="AR31" s="104">
        <f>'aij-UNIFAC (VLE)'!$X18*(1-LN(Z31)-AL31)</f>
        <v>3.4257589895827376</v>
      </c>
      <c r="AS31" s="105">
        <f>'aij-UNIFAC (VLE)'!$X18*(1-LN(AA31)-AM31)</f>
        <v>2.8309536378236388</v>
      </c>
    </row>
    <row r="32" spans="1:49" s="72" customFormat="1" ht="12">
      <c r="A32" s="211">
        <v>16</v>
      </c>
      <c r="B32" s="35" t="str">
        <f>'aij-UNIFAC (VLE)'!V19</f>
        <v>H2O</v>
      </c>
      <c r="C32" s="57"/>
      <c r="D32" s="57"/>
      <c r="E32" s="57"/>
      <c r="F32" s="57"/>
      <c r="G32" s="57"/>
      <c r="H32" s="83">
        <f t="array" ref="H32">SUM(C32:G32*$C$21:$G$21)</f>
        <v>0</v>
      </c>
      <c r="I32" s="36" t="str">
        <f t="shared" si="0"/>
        <v>H2O</v>
      </c>
      <c r="J32" s="95">
        <f t="shared" si="1"/>
        <v>0</v>
      </c>
      <c r="K32" s="96">
        <f t="shared" si="2"/>
        <v>0</v>
      </c>
      <c r="L32" s="96">
        <f t="shared" si="3"/>
        <v>0</v>
      </c>
      <c r="M32" s="96">
        <f t="shared" si="4"/>
        <v>0</v>
      </c>
      <c r="N32" s="96">
        <f t="shared" si="5"/>
        <v>0</v>
      </c>
      <c r="O32" s="215">
        <f t="shared" si="6"/>
        <v>0</v>
      </c>
      <c r="P32" s="95">
        <f>J32*'aij-UNIFAC (VLE)'!$X19/J$43</f>
        <v>0</v>
      </c>
      <c r="Q32" s="96">
        <f>K32*'aij-UNIFAC (VLE)'!$X19/K$43</f>
        <v>0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0</v>
      </c>
      <c r="V32" s="95">
        <v>1.2027090151659613E-2</v>
      </c>
      <c r="W32" s="96">
        <v>1.8350596259368412</v>
      </c>
      <c r="X32" s="96">
        <v>0.59144182361423447</v>
      </c>
      <c r="Y32" s="99">
        <v>0.14812693782011668</v>
      </c>
      <c r="Z32" s="99">
        <v>1.2027090151659613E-2</v>
      </c>
      <c r="AA32" s="100">
        <v>5.9978719247658643E-2</v>
      </c>
      <c r="AB32" s="216">
        <f t="shared" si="7"/>
        <v>0</v>
      </c>
      <c r="AC32" s="217">
        <f t="shared" si="8"/>
        <v>0</v>
      </c>
      <c r="AD32" s="217">
        <f t="shared" si="9"/>
        <v>0</v>
      </c>
      <c r="AE32" s="217">
        <f t="shared" si="10"/>
        <v>0</v>
      </c>
      <c r="AF32" s="217">
        <f t="shared" si="11"/>
        <v>0</v>
      </c>
      <c r="AG32" s="215">
        <f t="shared" si="12"/>
        <v>0</v>
      </c>
      <c r="AH32" s="95">
        <v>0.36560384210985092</v>
      </c>
      <c r="AI32" s="99">
        <v>0.37858178248020219</v>
      </c>
      <c r="AJ32" s="99">
        <v>1.2138626557274934</v>
      </c>
      <c r="AK32" s="99">
        <v>2.3106898820211139</v>
      </c>
      <c r="AL32" s="99">
        <v>0.36560384210985092</v>
      </c>
      <c r="AM32" s="100">
        <v>0.43930571690819281</v>
      </c>
      <c r="AN32" s="103">
        <f>'aij-UNIFAC (VLE)'!$X19*(1-LN(V32)-AH32)</f>
        <v>7.0769857463187211</v>
      </c>
      <c r="AO32" s="104">
        <f>'aij-UNIFAC (VLE)'!$X19*(1-LN(W32)-AI32)</f>
        <v>2.0077739979670647E-2</v>
      </c>
      <c r="AP32" s="104">
        <f>'aij-UNIFAC (VLE)'!$X19*(1-LN(X32)-AJ32)</f>
        <v>0.43586101813019301</v>
      </c>
      <c r="AQ32" s="104">
        <f>'aij-UNIFAC (VLE)'!$X19*(1-LN(Y32)-AK32)</f>
        <v>0.83859412395821831</v>
      </c>
      <c r="AR32" s="104">
        <f>'aij-UNIFAC (VLE)'!$X19*(1-LN(Z32)-AL32)</f>
        <v>7.0769857463187211</v>
      </c>
      <c r="AS32" s="105">
        <f>'aij-UNIFAC (VLE)'!$X19*(1-LN(AA32)-AM32)</f>
        <v>4.7242436387595097</v>
      </c>
      <c r="AT32" s="202"/>
      <c r="AU32" s="202"/>
    </row>
    <row r="33" spans="1:110" s="72" customFormat="1" ht="12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0"/>
        <v>ACOH</v>
      </c>
      <c r="J33" s="95">
        <f t="shared" si="1"/>
        <v>0</v>
      </c>
      <c r="K33" s="96">
        <f t="shared" si="2"/>
        <v>0</v>
      </c>
      <c r="L33" s="96">
        <f t="shared" si="3"/>
        <v>0</v>
      </c>
      <c r="M33" s="96">
        <f t="shared" si="4"/>
        <v>0</v>
      </c>
      <c r="N33" s="96">
        <f t="shared" si="5"/>
        <v>0</v>
      </c>
      <c r="O33" s="215">
        <f t="shared" si="6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1.1436973211762848E-2</v>
      </c>
      <c r="W33" s="96">
        <v>1.4064987657394561</v>
      </c>
      <c r="X33" s="96">
        <v>0.49229570390838873</v>
      </c>
      <c r="Y33" s="99">
        <v>1.1140426653864903</v>
      </c>
      <c r="Z33" s="99">
        <v>1.1436973211762848E-2</v>
      </c>
      <c r="AA33" s="100">
        <v>4.8131592933662412E-2</v>
      </c>
      <c r="AB33" s="216">
        <f t="shared" si="7"/>
        <v>0</v>
      </c>
      <c r="AC33" s="217">
        <f t="shared" si="8"/>
        <v>0</v>
      </c>
      <c r="AD33" s="217">
        <f t="shared" si="9"/>
        <v>0</v>
      </c>
      <c r="AE33" s="217">
        <f t="shared" si="10"/>
        <v>0</v>
      </c>
      <c r="AF33" s="217">
        <f t="shared" si="11"/>
        <v>0</v>
      </c>
      <c r="AG33" s="215">
        <f t="shared" si="12"/>
        <v>0</v>
      </c>
      <c r="AH33" s="95">
        <v>0.39651645716218614</v>
      </c>
      <c r="AI33" s="99">
        <v>2.4338762681067143</v>
      </c>
      <c r="AJ33" s="99">
        <v>0.52959308454671894</v>
      </c>
      <c r="AK33" s="99">
        <v>4.6257138623644272</v>
      </c>
      <c r="AL33" s="99">
        <v>0.39651645716218614</v>
      </c>
      <c r="AM33" s="100">
        <v>0.91903568069230035</v>
      </c>
      <c r="AN33" s="103">
        <f>'aij-UNIFAC (VLE)'!$X20*(1-LN(V33)-AH33)</f>
        <v>3.4505834661815333</v>
      </c>
      <c r="AO33" s="104">
        <f>'aij-UNIFAC (VLE)'!$X20*(1-LN(W33)-AI33)</f>
        <v>-1.2069862228693324</v>
      </c>
      <c r="AP33" s="104">
        <f>'aij-UNIFAC (VLE)'!$X20*(1-LN(X33)-AJ33)</f>
        <v>0.80177619131160927</v>
      </c>
      <c r="AQ33" s="104">
        <f>'aij-UNIFAC (VLE)'!$X20*(1-LN(Y33)-AK33)</f>
        <v>-2.5389223256359856</v>
      </c>
      <c r="AR33" s="104">
        <f>'aij-UNIFAC (VLE)'!$X20*(1-LN(Z33)-AL33)</f>
        <v>3.4505834661815333</v>
      </c>
      <c r="AS33" s="105">
        <f>'aij-UNIFAC (VLE)'!$X20*(1-LN(AA33)-AM33)</f>
        <v>2.1180509569477661</v>
      </c>
      <c r="AT33" s="202"/>
      <c r="AU33" s="202"/>
    </row>
    <row r="34" spans="1:110" s="72" customFormat="1" ht="12">
      <c r="A34" s="211">
        <v>18</v>
      </c>
      <c r="B34" s="35" t="str">
        <f>'aij-UNIFAC (VLE)'!V21</f>
        <v>CH3CO</v>
      </c>
      <c r="C34" s="57"/>
      <c r="D34" s="57"/>
      <c r="E34" s="57"/>
      <c r="F34" s="57"/>
      <c r="G34" s="57"/>
      <c r="H34" s="83">
        <f t="array" ref="H34">SUM(C34:G34*$C$21:$G$21)</f>
        <v>0</v>
      </c>
      <c r="I34" s="36" t="str">
        <f t="shared" si="0"/>
        <v>CH3CO</v>
      </c>
      <c r="J34" s="95">
        <f t="shared" si="1"/>
        <v>0</v>
      </c>
      <c r="K34" s="96">
        <f t="shared" si="2"/>
        <v>0</v>
      </c>
      <c r="L34" s="96">
        <f t="shared" si="3"/>
        <v>0</v>
      </c>
      <c r="M34" s="96">
        <f t="shared" si="4"/>
        <v>0</v>
      </c>
      <c r="N34" s="96">
        <f t="shared" si="5"/>
        <v>0</v>
      </c>
      <c r="O34" s="215">
        <f t="shared" si="6"/>
        <v>0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</v>
      </c>
      <c r="T34" s="96">
        <f>N34*'aij-UNIFAC (VLE)'!$X21/N$43</f>
        <v>0</v>
      </c>
      <c r="U34" s="98">
        <f>O34*'aij-UNIFAC (VLE)'!$X21/O$43</f>
        <v>0</v>
      </c>
      <c r="V34" s="95">
        <v>0.20233036858676409</v>
      </c>
      <c r="W34" s="96">
        <v>0.92454787531439342</v>
      </c>
      <c r="X34" s="96">
        <v>1.379826956003839</v>
      </c>
      <c r="Y34" s="99">
        <v>0.45834648710020293</v>
      </c>
      <c r="Z34" s="99">
        <v>0.20233036858676409</v>
      </c>
      <c r="AA34" s="100">
        <v>0.22132701583767264</v>
      </c>
      <c r="AB34" s="216">
        <f t="shared" si="7"/>
        <v>0</v>
      </c>
      <c r="AC34" s="217">
        <f t="shared" si="8"/>
        <v>0</v>
      </c>
      <c r="AD34" s="217">
        <f t="shared" si="9"/>
        <v>0</v>
      </c>
      <c r="AE34" s="217">
        <f t="shared" si="10"/>
        <v>0</v>
      </c>
      <c r="AF34" s="217">
        <f t="shared" si="11"/>
        <v>0</v>
      </c>
      <c r="AG34" s="215">
        <f t="shared" si="12"/>
        <v>0</v>
      </c>
      <c r="AH34" s="95">
        <v>0.91415651555016475</v>
      </c>
      <c r="AI34" s="99">
        <v>0.69448717293817275</v>
      </c>
      <c r="AJ34" s="99">
        <v>0.79416829696741542</v>
      </c>
      <c r="AK34" s="99">
        <v>1.1573204488162152</v>
      </c>
      <c r="AL34" s="99">
        <v>0.91415651555016475</v>
      </c>
      <c r="AM34" s="100">
        <v>1.0432906700737659</v>
      </c>
      <c r="AN34" s="103">
        <f>'aij-UNIFAC (VLE)'!$X21*(1-LN(V34)-AH34)</f>
        <v>2.50534100793028</v>
      </c>
      <c r="AO34" s="104">
        <f>'aij-UNIFAC (VLE)'!$X21*(1-LN(W34)-AI34)</f>
        <v>0.57133734794587931</v>
      </c>
      <c r="AP34" s="104">
        <f>'aij-UNIFAC (VLE)'!$X21*(1-LN(X34)-AJ34)</f>
        <v>-0.1727960743819662</v>
      </c>
      <c r="AQ34" s="104">
        <f>'aij-UNIFAC (VLE)'!$X21*(1-LN(Y34)-AK34)</f>
        <v>0.92674040210597541</v>
      </c>
      <c r="AR34" s="104">
        <f>'aij-UNIFAC (VLE)'!$X21*(1-LN(Z34)-AL34)</f>
        <v>2.50534100793028</v>
      </c>
      <c r="AS34" s="105">
        <f>'aij-UNIFAC (VLE)'!$X21*(1-LN(AA34)-AM34)</f>
        <v>2.1796570576173133</v>
      </c>
      <c r="AT34" s="202"/>
      <c r="AU34" s="202"/>
    </row>
    <row r="35" spans="1:110" s="72" customFormat="1" ht="12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0"/>
        <v>CHO</v>
      </c>
      <c r="J35" s="95">
        <f t="shared" si="1"/>
        <v>0</v>
      </c>
      <c r="K35" s="96">
        <f t="shared" si="2"/>
        <v>0</v>
      </c>
      <c r="L35" s="96">
        <f t="shared" si="3"/>
        <v>0</v>
      </c>
      <c r="M35" s="96">
        <f t="shared" si="4"/>
        <v>0</v>
      </c>
      <c r="N35" s="96">
        <f t="shared" si="5"/>
        <v>0</v>
      </c>
      <c r="O35" s="215">
        <f t="shared" si="6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0.10324307431131721</v>
      </c>
      <c r="W35" s="96">
        <v>0.35783952917999828</v>
      </c>
      <c r="X35" s="96">
        <v>0.87122069532215618</v>
      </c>
      <c r="Y35" s="99">
        <v>0.97325381216471885</v>
      </c>
      <c r="Z35" s="99">
        <v>0.10324307431131721</v>
      </c>
      <c r="AA35" s="100">
        <v>0.10993978132744356</v>
      </c>
      <c r="AB35" s="216">
        <f t="shared" si="7"/>
        <v>0</v>
      </c>
      <c r="AC35" s="217">
        <f t="shared" si="8"/>
        <v>0</v>
      </c>
      <c r="AD35" s="217">
        <f t="shared" si="9"/>
        <v>0</v>
      </c>
      <c r="AE35" s="217">
        <f t="shared" si="10"/>
        <v>0</v>
      </c>
      <c r="AF35" s="217">
        <f t="shared" si="11"/>
        <v>0</v>
      </c>
      <c r="AG35" s="215">
        <f t="shared" si="12"/>
        <v>0</v>
      </c>
      <c r="AH35" s="95">
        <v>0.1833925922828181</v>
      </c>
      <c r="AI35" s="99">
        <v>3.1300105998451251</v>
      </c>
      <c r="AJ35" s="99">
        <v>0.30832776533852768</v>
      </c>
      <c r="AK35" s="99">
        <v>0.28404404164935038</v>
      </c>
      <c r="AL35" s="99">
        <v>0.1833925922828181</v>
      </c>
      <c r="AM35" s="100">
        <v>0.86349990146485744</v>
      </c>
      <c r="AN35" s="103">
        <f>'aij-UNIFAC (VLE)'!$X22*(1-LN(V35)-AH35)</f>
        <v>2.9267381542281141</v>
      </c>
      <c r="AO35" s="104">
        <f>'aij-UNIFAC (VLE)'!$X22*(1-LN(W35)-AI35)</f>
        <v>-1.0450182861175423</v>
      </c>
      <c r="AP35" s="104">
        <f>'aij-UNIFAC (VLE)'!$X22*(1-LN(X35)-AJ35)</f>
        <v>0.78639651360386631</v>
      </c>
      <c r="AQ35" s="104">
        <f>'aij-UNIFAC (VLE)'!$X22*(1-LN(Y35)-AK35)</f>
        <v>0.70442688454378888</v>
      </c>
      <c r="AR35" s="104">
        <f>'aij-UNIFAC (VLE)'!$X22*(1-LN(Z35)-AL35)</f>
        <v>2.9267381542281141</v>
      </c>
      <c r="AS35" s="105">
        <f>'aij-UNIFAC (VLE)'!$X22*(1-LN(AA35)-AM35)</f>
        <v>2.2224178286905851</v>
      </c>
      <c r="AT35" s="202"/>
      <c r="AU35" s="202"/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0"/>
        <v>CH3COO</v>
      </c>
      <c r="J36" s="95">
        <f t="shared" si="1"/>
        <v>0</v>
      </c>
      <c r="K36" s="96">
        <f t="shared" si="2"/>
        <v>0</v>
      </c>
      <c r="L36" s="96">
        <f t="shared" si="3"/>
        <v>0</v>
      </c>
      <c r="M36" s="96">
        <f t="shared" si="4"/>
        <v>0</v>
      </c>
      <c r="N36" s="96">
        <f t="shared" si="5"/>
        <v>0</v>
      </c>
      <c r="O36" s="215">
        <f t="shared" si="6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0.45910918816932877</v>
      </c>
      <c r="W36" s="96">
        <v>1.0366092562639033</v>
      </c>
      <c r="X36" s="96">
        <v>1.3509551951326486</v>
      </c>
      <c r="Y36" s="99">
        <v>0.57656284386655121</v>
      </c>
      <c r="Z36" s="99">
        <v>0.45910918816932877</v>
      </c>
      <c r="AA36" s="100">
        <v>0.47429930053682867</v>
      </c>
      <c r="AB36" s="216">
        <f t="shared" si="7"/>
        <v>0</v>
      </c>
      <c r="AC36" s="217">
        <f t="shared" si="8"/>
        <v>0</v>
      </c>
      <c r="AD36" s="217">
        <f t="shared" si="9"/>
        <v>0</v>
      </c>
      <c r="AE36" s="217">
        <f t="shared" si="10"/>
        <v>0</v>
      </c>
      <c r="AF36" s="217">
        <f t="shared" si="11"/>
        <v>0</v>
      </c>
      <c r="AG36" s="215">
        <f t="shared" si="12"/>
        <v>0</v>
      </c>
      <c r="AH36" s="95">
        <v>0.68042267930686384</v>
      </c>
      <c r="AI36" s="99">
        <v>0.43293724071513062</v>
      </c>
      <c r="AJ36" s="99">
        <v>0.61819394101184233</v>
      </c>
      <c r="AK36" s="99">
        <v>0.87138229723735938</v>
      </c>
      <c r="AL36" s="99">
        <v>0.68042267930686384</v>
      </c>
      <c r="AM36" s="100">
        <v>0.75816881436032257</v>
      </c>
      <c r="AN36" s="103">
        <f>'aij-UNIFAC (VLE)'!$X23*(1-LN(V36)-AH36)</f>
        <v>1.8974209567953384</v>
      </c>
      <c r="AO36" s="104">
        <f>'aij-UNIFAC (VLE)'!$X23*(1-LN(W36)-AI36)</f>
        <v>0.91775411096560267</v>
      </c>
      <c r="AP36" s="104">
        <f>'aij-UNIFAC (VLE)'!$X23*(1-LN(X36)-AJ36)</f>
        <v>0.13995791674775307</v>
      </c>
      <c r="AQ36" s="104">
        <f>'aij-UNIFAC (VLE)'!$X23*(1-LN(Y36)-AK36)</f>
        <v>1.1738107676181284</v>
      </c>
      <c r="AR36" s="104">
        <f>'aij-UNIFAC (VLE)'!$X23*(1-LN(Z36)-AL36)</f>
        <v>1.8974209567953384</v>
      </c>
      <c r="AS36" s="105">
        <f>'aij-UNIFAC (VLE)'!$X23*(1-LN(AA36)-AM36)</f>
        <v>1.7068283823744457</v>
      </c>
      <c r="AT36" s="202"/>
      <c r="AU36" s="202"/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0"/>
        <v>CH2NH2</v>
      </c>
      <c r="J37" s="95">
        <f t="shared" si="1"/>
        <v>0</v>
      </c>
      <c r="K37" s="96">
        <f t="shared" si="2"/>
        <v>0</v>
      </c>
      <c r="L37" s="96">
        <f t="shared" si="3"/>
        <v>0</v>
      </c>
      <c r="M37" s="96">
        <f t="shared" si="4"/>
        <v>0</v>
      </c>
      <c r="N37" s="96">
        <f t="shared" si="5"/>
        <v>0</v>
      </c>
      <c r="O37" s="215">
        <f t="shared" si="6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0.26898559952503881</v>
      </c>
      <c r="W37" s="96">
        <v>0.29966259967757253</v>
      </c>
      <c r="X37" s="96">
        <v>0.61154364936476036</v>
      </c>
      <c r="Y37" s="99">
        <v>0.59469427246946549</v>
      </c>
      <c r="Z37" s="99">
        <v>0.26898559952503881</v>
      </c>
      <c r="AA37" s="100">
        <v>0.26979250346351324</v>
      </c>
      <c r="AB37" s="216">
        <f t="shared" si="7"/>
        <v>0</v>
      </c>
      <c r="AC37" s="217">
        <f t="shared" si="8"/>
        <v>0</v>
      </c>
      <c r="AD37" s="217">
        <f t="shared" si="9"/>
        <v>0</v>
      </c>
      <c r="AE37" s="217">
        <f t="shared" si="10"/>
        <v>0</v>
      </c>
      <c r="AF37" s="217">
        <f t="shared" si="11"/>
        <v>0</v>
      </c>
      <c r="AG37" s="215">
        <f t="shared" si="12"/>
        <v>0</v>
      </c>
      <c r="AH37" s="95">
        <v>1.1076386654561763</v>
      </c>
      <c r="AI37" s="99">
        <v>5.0310550649808627</v>
      </c>
      <c r="AJ37" s="99">
        <v>1.7388038421627621</v>
      </c>
      <c r="AK37" s="99">
        <v>2.8988474463340026</v>
      </c>
      <c r="AL37" s="99">
        <v>1.1076386654561763</v>
      </c>
      <c r="AM37" s="100">
        <v>2.1805584346244151</v>
      </c>
      <c r="AN37" s="103">
        <f>'aij-UNIFAC (VLE)'!$X24*(1-LN(V37)-AH37)</f>
        <v>1.4899470381394662</v>
      </c>
      <c r="AO37" s="104">
        <f>'aij-UNIFAC (VLE)'!$X24*(1-LN(W37)-AI37)</f>
        <v>-3.4928828025601835</v>
      </c>
      <c r="AP37" s="104">
        <f>'aij-UNIFAC (VLE)'!$X24*(1-LN(X37)-AJ37)</f>
        <v>-0.30533513215984787</v>
      </c>
      <c r="AQ37" s="104">
        <f>'aij-UNIFAC (VLE)'!$X24*(1-LN(Y37)-AK37)</f>
        <v>-1.7046165617425948</v>
      </c>
      <c r="AR37" s="104">
        <f>'aij-UNIFAC (VLE)'!$X24*(1-LN(Z37)-AL37)</f>
        <v>1.4899470381394662</v>
      </c>
      <c r="AS37" s="105">
        <f>'aij-UNIFAC (VLE)'!$X24*(1-LN(AA37)-AM37)</f>
        <v>0.16011599651637057</v>
      </c>
      <c r="AT37" s="202"/>
      <c r="AU37" s="202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0"/>
        <v>ACNH2</v>
      </c>
      <c r="J38" s="95">
        <f t="shared" si="1"/>
        <v>0</v>
      </c>
      <c r="K38" s="96">
        <f t="shared" si="2"/>
        <v>0</v>
      </c>
      <c r="L38" s="96">
        <f t="shared" si="3"/>
        <v>0</v>
      </c>
      <c r="M38" s="96">
        <f t="shared" si="4"/>
        <v>0</v>
      </c>
      <c r="N38" s="96">
        <f t="shared" si="5"/>
        <v>0</v>
      </c>
      <c r="O38" s="215">
        <f t="shared" si="6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4.5591092046142444E-2</v>
      </c>
      <c r="W38" s="217">
        <v>0.19350308024444521</v>
      </c>
      <c r="X38" s="217">
        <v>0.11366519662625912</v>
      </c>
      <c r="Y38" s="217">
        <v>0.57720289740292297</v>
      </c>
      <c r="Z38" s="217">
        <v>4.5591092046142444E-2</v>
      </c>
      <c r="AA38" s="215">
        <v>4.9481653875244412E-2</v>
      </c>
      <c r="AB38" s="216">
        <f t="shared" si="7"/>
        <v>0</v>
      </c>
      <c r="AC38" s="217">
        <f t="shared" si="8"/>
        <v>0</v>
      </c>
      <c r="AD38" s="217">
        <f t="shared" si="9"/>
        <v>0</v>
      </c>
      <c r="AE38" s="217">
        <f t="shared" si="10"/>
        <v>0</v>
      </c>
      <c r="AF38" s="217">
        <f t="shared" si="11"/>
        <v>0</v>
      </c>
      <c r="AG38" s="215">
        <f t="shared" si="12"/>
        <v>0</v>
      </c>
      <c r="AH38" s="216">
        <v>2.1922873852175999E-2</v>
      </c>
      <c r="AI38" s="217">
        <v>1.4860317927754383</v>
      </c>
      <c r="AJ38" s="217">
        <v>3.3791081038765491</v>
      </c>
      <c r="AK38" s="217">
        <v>1.031586151716448</v>
      </c>
      <c r="AL38" s="217">
        <v>2.1922873852175999E-2</v>
      </c>
      <c r="AM38" s="215">
        <v>0.3464402431493</v>
      </c>
      <c r="AN38" s="103">
        <f>'aij-UNIFAC (VLE)'!$X25*(1-LN(V38)-AH38)</f>
        <v>3.3179539669674805</v>
      </c>
      <c r="AO38" s="104">
        <f>'aij-UNIFAC (VLE)'!$X25*(1-LN(W38)-AI38)</f>
        <v>0.94364692511469539</v>
      </c>
      <c r="AP38" s="104">
        <f>'aij-UNIFAC (VLE)'!$X25*(1-LN(X38)-AJ38)</f>
        <v>-0.16696182570381171</v>
      </c>
      <c r="AQ38" s="104">
        <f>'aij-UNIFAC (VLE)'!$X25*(1-LN(Y38)-AK38)</f>
        <v>0.42266782898835858</v>
      </c>
      <c r="AR38" s="104">
        <f>'aij-UNIFAC (VLE)'!$X25*(1-LN(Z38)-AL38)</f>
        <v>3.3179539669674805</v>
      </c>
      <c r="AS38" s="105">
        <f>'aij-UNIFAC (VLE)'!$X25*(1-LN(AA38)-AM38)</f>
        <v>2.9863258600126201</v>
      </c>
      <c r="AT38" s="210"/>
      <c r="AU38" s="210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0"/>
        <v>COOH</v>
      </c>
      <c r="J39" s="95">
        <f t="shared" si="1"/>
        <v>0</v>
      </c>
      <c r="K39" s="96">
        <f t="shared" si="2"/>
        <v>0</v>
      </c>
      <c r="L39" s="96">
        <f t="shared" si="3"/>
        <v>0.33333333333333331</v>
      </c>
      <c r="M39" s="96">
        <f t="shared" si="4"/>
        <v>0</v>
      </c>
      <c r="N39" s="96">
        <f t="shared" si="5"/>
        <v>0</v>
      </c>
      <c r="O39" s="215">
        <f t="shared" si="6"/>
        <v>1.7507002801120447E-21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3.9032364718415916E-21</v>
      </c>
      <c r="V39" s="216">
        <v>0.1080252908851002</v>
      </c>
      <c r="W39" s="217">
        <v>1.9689714893787695</v>
      </c>
      <c r="X39" s="217">
        <v>0.52601037662653871</v>
      </c>
      <c r="Y39" s="217">
        <v>0.29581053808429919</v>
      </c>
      <c r="Z39" s="217">
        <v>0.1080252908851002</v>
      </c>
      <c r="AA39" s="215">
        <v>0.15697417145971049</v>
      </c>
      <c r="AB39" s="216">
        <f t="shared" si="7"/>
        <v>0</v>
      </c>
      <c r="AC39" s="217">
        <f t="shared" si="8"/>
        <v>0</v>
      </c>
      <c r="AD39" s="217">
        <f t="shared" si="9"/>
        <v>0.89086917801564847</v>
      </c>
      <c r="AE39" s="217">
        <f t="shared" si="10"/>
        <v>0</v>
      </c>
      <c r="AF39" s="217">
        <f t="shared" si="11"/>
        <v>0</v>
      </c>
      <c r="AG39" s="215">
        <f t="shared" si="12"/>
        <v>2.4865469494409207E-20</v>
      </c>
      <c r="AH39" s="216">
        <v>0.34731560710181775</v>
      </c>
      <c r="AI39" s="217">
        <v>0.31991665043566153</v>
      </c>
      <c r="AJ39" s="217">
        <v>1.156750960446602</v>
      </c>
      <c r="AK39" s="217">
        <v>1.8218302610282484</v>
      </c>
      <c r="AL39" s="217">
        <v>0.34731560710181775</v>
      </c>
      <c r="AM39" s="215">
        <v>0.40864048249754142</v>
      </c>
      <c r="AN39" s="103">
        <f>'aij-UNIFAC (VLE)'!$X26*(1-LN(V39)-AH39)</f>
        <v>3.5227629399058658</v>
      </c>
      <c r="AO39" s="104">
        <f>'aij-UNIFAC (VLE)'!$X26*(1-LN(W39)-AI39)</f>
        <v>3.148164424858576E-3</v>
      </c>
      <c r="AP39" s="104">
        <f>'aij-UNIFAC (VLE)'!$X26*(1-LN(X39)-AJ39)</f>
        <v>0.5944764553642069</v>
      </c>
      <c r="AQ39" s="104">
        <f>'aij-UNIFAC (VLE)'!$X26*(1-LN(Y39)-AK39)</f>
        <v>0.48495595134754038</v>
      </c>
      <c r="AR39" s="104">
        <f>'aij-UNIFAC (VLE)'!$X26*(1-LN(Z39)-AL39)</f>
        <v>3.5227629399058658</v>
      </c>
      <c r="AS39" s="105">
        <f>'aij-UNIFAC (VLE)'!$X26*(1-LN(AA39)-AM39)</f>
        <v>2.9902730256225833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0"/>
        <v>CCL2</v>
      </c>
      <c r="J40" s="95">
        <f t="shared" si="1"/>
        <v>0</v>
      </c>
      <c r="K40" s="96">
        <f t="shared" si="2"/>
        <v>0</v>
      </c>
      <c r="L40" s="96">
        <f t="shared" si="3"/>
        <v>0</v>
      </c>
      <c r="M40" s="96">
        <f t="shared" si="4"/>
        <v>0</v>
      </c>
      <c r="N40" s="96">
        <f t="shared" si="5"/>
        <v>0</v>
      </c>
      <c r="O40" s="215">
        <f t="shared" si="6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0.83500971160986082</v>
      </c>
      <c r="W40" s="217">
        <v>1.4102777693888271</v>
      </c>
      <c r="X40" s="217">
        <v>0.98812070393732288</v>
      </c>
      <c r="Y40" s="217">
        <v>0.82033522259938541</v>
      </c>
      <c r="Z40" s="217">
        <v>0.83500971160986082</v>
      </c>
      <c r="AA40" s="215">
        <v>0.85014111491501998</v>
      </c>
      <c r="AB40" s="216">
        <f t="shared" si="7"/>
        <v>0</v>
      </c>
      <c r="AC40" s="217">
        <f t="shared" si="8"/>
        <v>0</v>
      </c>
      <c r="AD40" s="217">
        <f t="shared" si="9"/>
        <v>0</v>
      </c>
      <c r="AE40" s="217">
        <f t="shared" si="10"/>
        <v>0</v>
      </c>
      <c r="AF40" s="217">
        <f t="shared" si="11"/>
        <v>0</v>
      </c>
      <c r="AG40" s="215">
        <f t="shared" si="12"/>
        <v>0</v>
      </c>
      <c r="AH40" s="216">
        <v>0.89192613295238909</v>
      </c>
      <c r="AI40" s="217">
        <v>0.10573116247022901</v>
      </c>
      <c r="AJ40" s="217">
        <v>0.82682065592221032</v>
      </c>
      <c r="AK40" s="217">
        <v>0.75352463486109678</v>
      </c>
      <c r="AL40" s="217">
        <v>0.89192613295238909</v>
      </c>
      <c r="AM40" s="215">
        <v>0.892826197869518</v>
      </c>
      <c r="AN40" s="103">
        <f>'aij-UNIFAC (VLE)'!$X27*(1-LN(V40)-AH40)</f>
        <v>0.41758262475410057</v>
      </c>
      <c r="AO40" s="104">
        <f>'aij-UNIFAC (VLE)'!$X27*(1-LN(W40)-AI40)</f>
        <v>0.79709815750782398</v>
      </c>
      <c r="AP40" s="104">
        <f>'aij-UNIFAC (VLE)'!$X27*(1-LN(X40)-AJ40)</f>
        <v>0.26806789653028107</v>
      </c>
      <c r="AQ40" s="104">
        <f>'aij-UNIFAC (VLE)'!$X27*(1-LN(Y40)-AK40)</f>
        <v>0.64366145490452487</v>
      </c>
      <c r="AR40" s="104">
        <f>'aij-UNIFAC (VLE)'!$X27*(1-LN(Z40)-AL40)</f>
        <v>0.41758262475410057</v>
      </c>
      <c r="AS40" s="105">
        <f>'aij-UNIFAC (VLE)'!$X27*(1-LN(AA40)-AM40)</f>
        <v>0.39027470194209435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0"/>
        <v>CCL3</v>
      </c>
      <c r="J41" s="95">
        <f t="shared" si="1"/>
        <v>0</v>
      </c>
      <c r="K41" s="96">
        <f t="shared" si="2"/>
        <v>0</v>
      </c>
      <c r="L41" s="96">
        <f t="shared" si="3"/>
        <v>0</v>
      </c>
      <c r="M41" s="96">
        <f t="shared" si="4"/>
        <v>0</v>
      </c>
      <c r="N41" s="96">
        <f t="shared" si="5"/>
        <v>0</v>
      </c>
      <c r="O41" s="215">
        <f t="shared" si="6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0.9198772799238939</v>
      </c>
      <c r="W41" s="217">
        <v>1.5960788315258969</v>
      </c>
      <c r="X41" s="217">
        <v>0.89909839911663192</v>
      </c>
      <c r="Y41" s="217">
        <v>1.1377292630095184</v>
      </c>
      <c r="Z41" s="217">
        <v>0.9198772799238939</v>
      </c>
      <c r="AA41" s="215">
        <v>0.93766355930183864</v>
      </c>
      <c r="AB41" s="216">
        <f t="shared" si="7"/>
        <v>0</v>
      </c>
      <c r="AC41" s="217">
        <f t="shared" si="8"/>
        <v>0</v>
      </c>
      <c r="AD41" s="217">
        <f t="shared" si="9"/>
        <v>0</v>
      </c>
      <c r="AE41" s="217">
        <f t="shared" si="10"/>
        <v>0</v>
      </c>
      <c r="AF41" s="217">
        <f t="shared" si="11"/>
        <v>0</v>
      </c>
      <c r="AG41" s="215">
        <f t="shared" si="12"/>
        <v>0</v>
      </c>
      <c r="AH41" s="216">
        <v>0.88418195758547224</v>
      </c>
      <c r="AI41" s="217">
        <v>0.11337072616001936</v>
      </c>
      <c r="AJ41" s="217">
        <v>0.84107387810592704</v>
      </c>
      <c r="AK41" s="217">
        <v>0.66453531029506518</v>
      </c>
      <c r="AL41" s="217">
        <v>0.88418195758547224</v>
      </c>
      <c r="AM41" s="215">
        <v>0.88694614476704337</v>
      </c>
      <c r="AN41" s="103">
        <f>'aij-UNIFAC (VLE)'!$X28*(1-LN(V41)-AH41)</f>
        <v>0.43534338477755152</v>
      </c>
      <c r="AO41" s="104">
        <f>'aij-UNIFAC (VLE)'!$X28*(1-LN(W41)-AI41)</f>
        <v>0.91526937213460413</v>
      </c>
      <c r="AP41" s="104">
        <f>'aij-UNIFAC (VLE)'!$X28*(1-LN(X41)-AJ41)</f>
        <v>0.57939099784436188</v>
      </c>
      <c r="AQ41" s="104">
        <f>'aij-UNIFAC (VLE)'!$X28*(1-LN(Y41)-AK41)</f>
        <v>0.45084374958591866</v>
      </c>
      <c r="AR41" s="104">
        <f>'aij-UNIFAC (VLE)'!$X28*(1-LN(Z41)-AL41)</f>
        <v>0.43534338477755152</v>
      </c>
      <c r="AS41" s="105">
        <f>'aij-UNIFAC (VLE)'!$X28*(1-LN(AA41)-AM41)</f>
        <v>0.38748075547747496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0"/>
        <v>CON(CH2)2</v>
      </c>
      <c r="J42" s="107">
        <f t="shared" si="1"/>
        <v>0</v>
      </c>
      <c r="K42" s="108">
        <f t="shared" si="2"/>
        <v>0</v>
      </c>
      <c r="L42" s="108">
        <f t="shared" si="3"/>
        <v>0</v>
      </c>
      <c r="M42" s="108">
        <f t="shared" si="4"/>
        <v>0</v>
      </c>
      <c r="N42" s="108">
        <f t="shared" si="5"/>
        <v>0</v>
      </c>
      <c r="O42" s="218">
        <f t="shared" si="6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0.2787207596100813</v>
      </c>
      <c r="W42" s="220">
        <v>1</v>
      </c>
      <c r="X42" s="220">
        <v>1.5293860873730512</v>
      </c>
      <c r="Y42" s="220">
        <v>1.8231530103147302</v>
      </c>
      <c r="Z42" s="220">
        <v>0.2787207596100813</v>
      </c>
      <c r="AA42" s="218">
        <v>0.29769272743342284</v>
      </c>
      <c r="AB42" s="219">
        <f t="shared" si="7"/>
        <v>0</v>
      </c>
      <c r="AC42" s="220">
        <f t="shared" si="8"/>
        <v>0</v>
      </c>
      <c r="AD42" s="220">
        <f t="shared" si="9"/>
        <v>0</v>
      </c>
      <c r="AE42" s="220">
        <f t="shared" si="10"/>
        <v>0</v>
      </c>
      <c r="AF42" s="220">
        <f t="shared" si="11"/>
        <v>0</v>
      </c>
      <c r="AG42" s="218">
        <f t="shared" si="12"/>
        <v>0</v>
      </c>
      <c r="AH42" s="219">
        <v>0.91045405745338392</v>
      </c>
      <c r="AI42" s="220">
        <v>1</v>
      </c>
      <c r="AJ42" s="220">
        <v>1.8245499330475901</v>
      </c>
      <c r="AK42" s="220">
        <v>0.85752174774019463</v>
      </c>
      <c r="AL42" s="220">
        <v>0.91045405745338392</v>
      </c>
      <c r="AM42" s="218">
        <v>1.1065102355116043</v>
      </c>
      <c r="AN42" s="115">
        <f>'aij-UNIFAC (VLE)'!$X29*(1-LN(V42)-AH42)</f>
        <v>2.4771685341597709</v>
      </c>
      <c r="AO42" s="116">
        <f>'aij-UNIFAC (VLE)'!$X29*(1-LN(W42)-AI42)</f>
        <v>0</v>
      </c>
      <c r="AP42" s="116">
        <f>'aij-UNIFAC (VLE)'!$X29*(1-LN(X42)-AJ42)</f>
        <v>-2.2639424041780503</v>
      </c>
      <c r="AQ42" s="116">
        <f>'aij-UNIFAC (VLE)'!$X29*(1-LN(Y42)-AK42)</f>
        <v>-0.83005758177409505</v>
      </c>
      <c r="AR42" s="116">
        <f>'aij-UNIFAC (VLE)'!$X29*(1-LN(Z42)-AL42)</f>
        <v>2.4771685341597709</v>
      </c>
      <c r="AS42" s="117">
        <f>'aij-UNIFAC (VLE)'!$X29*(1-LN(AA42)-AM42)</f>
        <v>2.0025919673262051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141</v>
      </c>
      <c r="C43" s="83">
        <f>C21*SUM(C23:C42)</f>
        <v>5.6543999999999999</v>
      </c>
      <c r="D43" s="83">
        <f>D21*SUM(D23:D42)</f>
        <v>5.7599999999999998E-2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5.7119999999999997</v>
      </c>
      <c r="I43" s="118" t="s">
        <v>142</v>
      </c>
      <c r="J43" s="36">
        <f t="array" ref="J43">SUM(J23:J42*_Q)</f>
        <v>0.54</v>
      </c>
      <c r="K43" s="36">
        <f t="array" ref="K43">SUM(K23:K42*_Q)</f>
        <v>1.4319999999999999</v>
      </c>
      <c r="L43" s="36">
        <f t="array" ref="L43">SUM(L23:L42*_Q)</f>
        <v>0.87066666666666659</v>
      </c>
      <c r="M43" s="36">
        <f t="array" ref="M43">SUM(M23:M42*_Q)</f>
        <v>0.86266666666666658</v>
      </c>
      <c r="N43" s="36">
        <f t="array" ref="N43">SUM(N23:N42*_Q)</f>
        <v>0.66320000000000001</v>
      </c>
      <c r="O43" s="36">
        <f t="array" ref="O43">SUM(O23:O42*_Q)</f>
        <v>0.54899495798319342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143</v>
      </c>
      <c r="C44" s="119">
        <f>SUM(C23:C42)</f>
        <v>6</v>
      </c>
      <c r="D44" s="119">
        <f>SUM(D23:D42)</f>
        <v>1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3.24</v>
      </c>
      <c r="D46" s="58">
        <f t="array" ref="D46">SUM(D23:D42*_Q)</f>
        <v>1.4319999999999999</v>
      </c>
      <c r="E46" s="58">
        <f t="array" ref="E46">SUM(E23:E42*_Q)</f>
        <v>2.6120000000000001</v>
      </c>
      <c r="F46" s="58">
        <f t="array" ref="F46">SUM(F23:F42*_Q)</f>
        <v>2.5880000000000001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4.0464000000000002</v>
      </c>
      <c r="D47" s="58">
        <f t="array" ref="D47">SUM(D23:D42*_R)</f>
        <v>1.4311</v>
      </c>
      <c r="E47" s="58">
        <f t="array" ref="E47">SUM(E23:E42*_R)</f>
        <v>2.8767999999999998</v>
      </c>
      <c r="F47" s="58">
        <f t="array" ref="F47">SUM(F23:F42*_R)</f>
        <v>2.5754999999999999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144</v>
      </c>
      <c r="C48" s="58">
        <f>C21*C46/SUMPRODUCT($C46:$G46,$C21:$G21)</f>
        <v>0.97369677822269574</v>
      </c>
      <c r="D48" s="58">
        <f>D21*D46/SUMPRODUCT($C46:$G46,$C21:$G21)</f>
        <v>2.6303221777304285E-2</v>
      </c>
      <c r="E48" s="58">
        <f>E21*E46/SUMPRODUCT($C46:$G46,$C21:$G21)</f>
        <v>8.3294556082109812E-21</v>
      </c>
      <c r="F48" s="58">
        <f>F21*F46/SUMPRODUCT($C46:$G46,$C21:$G21)</f>
        <v>8.2529215597434982E-21</v>
      </c>
      <c r="G48" s="58">
        <f>G21*G46/SUMPRODUCT($C46:$G46,$C21:$G21)</f>
        <v>1.0574454363257126E-20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145</v>
      </c>
      <c r="C49" s="58">
        <f>C21*C47/SUMPRODUCT($C47:$G47,$C21:$G21)</f>
        <v>0.97884074299139345</v>
      </c>
      <c r="D49" s="58">
        <f>D21*D47/SUMPRODUCT($C47:$G47,$C21:$G21)</f>
        <v>2.1159257008606526E-2</v>
      </c>
      <c r="E49" s="58">
        <f>E21*E47/SUMPRODUCT($C47:$G47,$C21:$G21)</f>
        <v>7.3844408926844406E-21</v>
      </c>
      <c r="F49" s="58">
        <f>F21*F47/SUMPRODUCT($C47:$G47,$C21:$G21)</f>
        <v>6.6110357060305814E-21</v>
      </c>
      <c r="G49" s="58">
        <f>G21*G47/SUMPRODUCT($C47:$G47,$C21:$G21)</f>
        <v>9.8193966180739232E-21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146</v>
      </c>
      <c r="C50" s="58">
        <f>LN(C49/C21)+(1-C49/C21)-5*C46*(LN(C49/C48)+(1-C49/C48))</f>
        <v>-5.0360569206876651E-4</v>
      </c>
      <c r="D50" s="58">
        <f>LN(D49/D21)+(1-D49/D21)-5*D46*(LN(D49/D48)+(1-D49/D48))</f>
        <v>-0.21091613016435501</v>
      </c>
      <c r="E50" s="58">
        <f>LN(E49/E21)+(1-E49/E21)-5*E46*(LN(E49/E48)+(1-E49/E48))</f>
        <v>4.9352502800214165E-2</v>
      </c>
      <c r="F50" s="58">
        <f>LN(F49/F21)+(1-F49/F21)-5*F46*(LN(F49/F48)+(1-F49/F48))</f>
        <v>0.22113079771267341</v>
      </c>
      <c r="G50" s="58">
        <f>LN(G49/G21)+(1-G49/G21)-5*G46*(LN(G49/G48)+(1-G49/G48))</f>
        <v>4.4227981658508428E-2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147</v>
      </c>
      <c r="C51" s="58">
        <f t="array" ref="C51">SUM(C23:C42*AN23:AN42)</f>
        <v>0</v>
      </c>
      <c r="D51" s="58">
        <f t="array" ref="D51">SUM(D23:D42*AO23:AO42)</f>
        <v>0</v>
      </c>
      <c r="E51" s="58">
        <f t="array" ref="E51">SUM(E23:E42*AP23:AP42)</f>
        <v>1.2930571174718444</v>
      </c>
      <c r="F51" s="58">
        <f t="array" ref="F51">SUM(F23:F42*AQ23:AQ42)</f>
        <v>1.1637997761509746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148</v>
      </c>
      <c r="C52" s="58">
        <f t="array" ref="C52">SUM(C23:C42*$AS23:$AS42)</f>
        <v>1.696116108172948E-2</v>
      </c>
      <c r="D52" s="58">
        <f t="array" ref="D52">SUM(D23:D42*$AS23:$AS42)</f>
        <v>2.8309536378236388</v>
      </c>
      <c r="E52" s="58">
        <f t="array" ref="E52">SUM(E23:E42*$AS23:$AS42)</f>
        <v>2.9975391032711762</v>
      </c>
      <c r="F52" s="58">
        <f t="array" ref="F52">SUM(F23:F42*$AS23:$AS42)</f>
        <v>3.7679890833481275</v>
      </c>
      <c r="G52" s="58">
        <f t="array" ref="G52">SUM(G23:G42*$AS23:$AS42)</f>
        <v>1.735901547747375E-2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sheetProtection sheet="1" objects="1" scenarios="1"/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BL71"/>
  <sheetViews>
    <sheetView workbookViewId="0">
      <selection activeCell="F1" sqref="F1"/>
    </sheetView>
  </sheetViews>
  <sheetFormatPr baseColWidth="10" defaultColWidth="10.6640625" defaultRowHeight="12" x14ac:dyDescent="0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265</v>
      </c>
    </row>
    <row r="2" spans="1:45" s="221" customFormat="1">
      <c r="A2" s="221" t="s">
        <v>266</v>
      </c>
    </row>
    <row r="3" spans="1:45" s="221" customFormat="1">
      <c r="T3" s="221" t="s">
        <v>267</v>
      </c>
    </row>
    <row r="4" spans="1:45" s="221" customFormat="1">
      <c r="A4" s="223" t="s">
        <v>268</v>
      </c>
      <c r="T4" s="221" t="s">
        <v>269</v>
      </c>
    </row>
    <row r="5" spans="1:45" s="221" customFormat="1">
      <c r="A5" s="221" t="s">
        <v>152</v>
      </c>
    </row>
    <row r="6" spans="1:45" s="221" customFormat="1">
      <c r="A6" s="221" t="s">
        <v>270</v>
      </c>
      <c r="F6" s="224"/>
      <c r="G6" s="224"/>
      <c r="T6" s="225" t="s">
        <v>154</v>
      </c>
      <c r="U6" s="221">
        <f>'UNIFAC (VLE)'!C10</f>
        <v>25</v>
      </c>
      <c r="V6" s="221" t="s">
        <v>127</v>
      </c>
    </row>
    <row r="7" spans="1:45">
      <c r="A7" s="222" t="s">
        <v>271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296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272</v>
      </c>
      <c r="F8" s="224"/>
      <c r="G8" s="224"/>
      <c r="H8" s="224"/>
      <c r="I8" s="224"/>
      <c r="J8" s="224"/>
      <c r="K8" s="224"/>
      <c r="L8" s="224"/>
      <c r="M8" s="224"/>
      <c r="T8" s="228" t="s">
        <v>273</v>
      </c>
      <c r="U8" s="229" t="s">
        <v>156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157</v>
      </c>
      <c r="U9" s="225" t="s">
        <v>157</v>
      </c>
      <c r="V9" s="224"/>
      <c r="W9" s="231" t="s">
        <v>158</v>
      </c>
      <c r="X9" s="232" t="s">
        <v>133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274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275</v>
      </c>
    </row>
    <row r="31" spans="1:45">
      <c r="A31" s="222" t="s">
        <v>276</v>
      </c>
    </row>
    <row r="32" spans="1:45" ht="14">
      <c r="A32" s="222" t="s">
        <v>277</v>
      </c>
      <c r="T32" s="222"/>
      <c r="V32" s="221" t="s">
        <v>297</v>
      </c>
    </row>
    <row r="33" spans="1:64">
      <c r="A33" s="254"/>
      <c r="C33" s="250"/>
      <c r="D33" s="250"/>
      <c r="E33" s="250"/>
      <c r="T33" s="222"/>
      <c r="V33" s="221" t="s">
        <v>269</v>
      </c>
    </row>
    <row r="34" spans="1:64" ht="14">
      <c r="A34" s="222" t="s">
        <v>264</v>
      </c>
      <c r="B34" s="222" t="s">
        <v>278</v>
      </c>
      <c r="D34" s="222" t="s">
        <v>158</v>
      </c>
      <c r="E34" s="222" t="s">
        <v>133</v>
      </c>
      <c r="U34" s="225"/>
      <c r="V34" s="256" t="s">
        <v>279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159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160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161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127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280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281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282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283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284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162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285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164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163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286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165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287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167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168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169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288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170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171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289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290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172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173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291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174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292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Gregory</cp:lastModifiedBy>
  <cp:lastPrinted>1999-12-22T07:05:21Z</cp:lastPrinted>
  <dcterms:created xsi:type="dcterms:W3CDTF">1997-12-10T20:16:28Z</dcterms:created>
  <dcterms:modified xsi:type="dcterms:W3CDTF">2017-04-12T14:44:08Z</dcterms:modified>
</cp:coreProperties>
</file>